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270" windowHeight="12360" tabRatio="830" activeTab="1"/>
  </bookViews>
  <sheets>
    <sheet name="Instructions" sheetId="1" r:id="rId1"/>
    <sheet name="Main" sheetId="2" r:id="rId2"/>
    <sheet name="Inflation" sheetId="3" r:id="rId3"/>
    <sheet name="PI-Roadway-Drainage" sheetId="4" r:id="rId4"/>
    <sheet name="Traffic-Safety-ITS" sheetId="5" r:id="rId5"/>
    <sheet name="Structures" sheetId="6" r:id="rId6"/>
    <sheet name="Environmental" sheetId="7" r:id="rId7"/>
    <sheet name="Util-RW-Inc" sheetId="8" r:id="rId8"/>
    <sheet name="Assumptions" sheetId="9" r:id="rId9"/>
    <sheet name="Incentive Calculator" sheetId="10" r:id="rId10"/>
    <sheet name="Non-Construction Cost Estimate" sheetId="11" r:id="rId11"/>
    <sheet name="Item List" sheetId="12" r:id="rId12"/>
  </sheets>
  <externalReferences>
    <externalReference r:id="rId15"/>
  </externalReferences>
  <definedNames>
    <definedName name="Funding">'Item List'!$A$1114:$A$1116</definedName>
    <definedName name="Ownership" comment="Who owns the road?">'Item List'!$A$1109:$A$1112</definedName>
    <definedName name="PA1">'Main'!$B$73</definedName>
    <definedName name="PA2">'Main'!$B$74</definedName>
    <definedName name="_xlnm.Print_Area" localSheetId="8">'Assumptions'!$B$2:$AF$94</definedName>
    <definedName name="_xlnm.Print_Area" localSheetId="6">'Environmental'!$B$2:$H$23</definedName>
    <definedName name="_xlnm.Print_Area" localSheetId="9">'Incentive Calculator'!$B$2:$M$69</definedName>
    <definedName name="_xlnm.Print_Area" localSheetId="2">'Inflation'!$A$2:$H$39</definedName>
    <definedName name="_xlnm.Print_Area" localSheetId="0">'Instructions'!$B$2:$B$42</definedName>
    <definedName name="_xlnm.Print_Area" localSheetId="1">'Main'!$B$2:$H$69</definedName>
    <definedName name="_xlnm.Print_Area" localSheetId="3">'PI-Roadway-Drainage'!$B$2:$H$54</definedName>
    <definedName name="_xlnm.Print_Area" localSheetId="5">'Structures'!$B$2:$H$26</definedName>
    <definedName name="_xlnm.Print_Area" localSheetId="4">'Traffic-Safety-ITS'!$B$2:$H$30</definedName>
    <definedName name="_xlnm.Print_Area" localSheetId="7">'Util-RW-Inc'!$B$2:$I$51</definedName>
    <definedName name="_xlnm.Print_Titles" localSheetId="8">'Assumptions'!$1:$4</definedName>
    <definedName name="ProjectScope">'Main'!$C$8</definedName>
    <definedName name="RoadJurisdiction" comment="List the potential owners of the road">'Item List'!$A$1109:$A$1111</definedName>
  </definedNames>
  <calcPr fullCalcOnLoad="1"/>
</workbook>
</file>

<file path=xl/comments10.xml><?xml version="1.0" encoding="utf-8"?>
<comments xmlns="http://schemas.openxmlformats.org/spreadsheetml/2006/main">
  <authors>
    <author>Chris T. Wilson</author>
    <author>Bradley G. Palmer</author>
  </authors>
  <commentList>
    <comment ref="I6" authorId="0">
      <text>
        <r>
          <rPr>
            <b/>
            <sz val="8"/>
            <rFont val="Tahoma"/>
            <family val="2"/>
          </rPr>
          <t>Chris T. Wilson:</t>
        </r>
        <r>
          <rPr>
            <sz val="8"/>
            <rFont val="Tahoma"/>
            <family val="2"/>
          </rPr>
          <t xml:space="preserve">
0.75(average bonus)
</t>
        </r>
      </text>
    </comment>
    <comment ref="D10" authorId="1">
      <text>
        <r>
          <rPr>
            <sz val="9"/>
            <rFont val="Tahoma"/>
            <family val="2"/>
          </rPr>
          <t>Determine how many longitudinal joints will be in the roadway per lift and multiply by the total length.
Recommend: 1 longitudinal joint per 12' of width or 1 per lane.
Recommend: 1 lift per 3 inch of HMA depth.</t>
        </r>
      </text>
    </comment>
    <comment ref="B9" authorId="1">
      <text>
        <r>
          <rPr>
            <b/>
            <sz val="9"/>
            <rFont val="Tahoma"/>
            <family val="2"/>
          </rPr>
          <t>HMA quantity must be greater than 500 tons.</t>
        </r>
      </text>
    </comment>
    <comment ref="E24" authorId="1">
      <text>
        <r>
          <rPr>
            <b/>
            <sz val="9"/>
            <rFont val="Tahoma"/>
            <family val="2"/>
          </rPr>
          <t>Required PI</t>
        </r>
      </text>
    </comment>
  </commentList>
</comments>
</file>

<file path=xl/comments2.xml><?xml version="1.0" encoding="utf-8"?>
<comments xmlns="http://schemas.openxmlformats.org/spreadsheetml/2006/main">
  <authors>
    <author>Neil Sharp</author>
    <author>David J. Osborn</author>
  </authors>
  <commentList>
    <comment ref="E13" authorId="0">
      <text>
        <r>
          <rPr>
            <sz val="9"/>
            <rFont val="Tahoma"/>
            <family val="2"/>
          </rPr>
          <t xml:space="preserve">eg. Fiscal Year 2021 is 10/1/2020 - 9/30/2021
</t>
        </r>
      </text>
    </comment>
    <comment ref="D52" authorId="1">
      <text>
        <r>
          <rPr>
            <sz val="10"/>
            <rFont val="Arial"/>
            <family val="2"/>
          </rPr>
          <t xml:space="preserve">Max. 3/4 of 1% (or 0.75%) of construction cost can be spent on enhancements to baseline conditions for structural elements, retaining walls, noise walls, barriers, parkstrips, landscaping, lighting, signage, and sidewalks. For more guidance, see
</t>
        </r>
        <r>
          <rPr>
            <b/>
            <sz val="10"/>
            <rFont val="Arial"/>
            <family val="2"/>
          </rPr>
          <t>UDOT Aesthetics Guidelines</t>
        </r>
        <r>
          <rPr>
            <sz val="10"/>
            <rFont val="Arial"/>
            <family val="2"/>
          </rPr>
          <t xml:space="preserve">
http://www.udot.utah.gov/main/uconowner.gf?n=5361113714159942</t>
        </r>
      </text>
    </comment>
    <comment ref="D53" authorId="1">
      <text>
        <r>
          <rPr>
            <sz val="10"/>
            <rFont val="Arial"/>
            <family val="2"/>
          </rPr>
          <t>Use 5% for maintenance projects and 9% for other projects.  This contingency is used during construction for change orders.  Project teams may increase this above 9% to account for unknowns and risk.</t>
        </r>
        <r>
          <rPr>
            <sz val="8"/>
            <rFont val="Tahoma"/>
            <family val="2"/>
          </rPr>
          <t xml:space="preserve">
</t>
        </r>
      </text>
    </comment>
    <comment ref="D54" authorId="1">
      <text>
        <r>
          <rPr>
            <sz val="10"/>
            <rFont val="Arial"/>
            <family val="2"/>
          </rPr>
          <t>Include 3% to 5% oversight ONLY if project is a Local Government project.</t>
        </r>
      </text>
    </comment>
    <comment ref="A72" authorId="0">
      <text>
        <r>
          <rPr>
            <sz val="9"/>
            <rFont val="Tahoma"/>
            <family val="2"/>
          </rPr>
          <t>Pulled from Assumptions Tab</t>
        </r>
      </text>
    </comment>
    <comment ref="E14" authorId="0">
      <text>
        <r>
          <rPr>
            <sz val="9"/>
            <rFont val="Tahoma"/>
            <family val="2"/>
          </rPr>
          <t>For multi-year projects, use the</t>
        </r>
        <r>
          <rPr>
            <b/>
            <sz val="9"/>
            <rFont val="Tahoma"/>
            <family val="2"/>
          </rPr>
          <t xml:space="preserve"> median</t>
        </r>
        <r>
          <rPr>
            <sz val="9"/>
            <rFont val="Tahoma"/>
            <family val="2"/>
          </rPr>
          <t xml:space="preserve"> </t>
        </r>
        <r>
          <rPr>
            <b/>
            <sz val="9"/>
            <rFont val="Tahoma"/>
            <family val="2"/>
          </rPr>
          <t>year</t>
        </r>
        <r>
          <rPr>
            <sz val="9"/>
            <rFont val="Tahoma"/>
            <family val="2"/>
          </rPr>
          <t>. 
Eg. Project spanning FY2023 - FY2027,</t>
        </r>
        <r>
          <rPr>
            <b/>
            <sz val="9"/>
            <rFont val="Tahoma"/>
            <family val="2"/>
          </rPr>
          <t xml:space="preserve"> use FY2025.</t>
        </r>
      </text>
    </comment>
    <comment ref="E16" authorId="1">
      <text>
        <r>
          <rPr>
            <sz val="10"/>
            <rFont val="Arial"/>
            <family val="2"/>
          </rPr>
          <t>Recommended 3.0% - Updated November 2016</t>
        </r>
      </text>
    </comment>
    <comment ref="E17" authorId="1">
      <text>
        <r>
          <rPr>
            <sz val="10"/>
            <rFont val="Arial"/>
            <family val="2"/>
          </rPr>
          <t>Recommended 3.0% - Updated November 2016</t>
        </r>
      </text>
    </comment>
    <comment ref="E18" authorId="1">
      <text>
        <r>
          <rPr>
            <sz val="10"/>
            <rFont val="Arial"/>
            <family val="2"/>
          </rPr>
          <t xml:space="preserve">This accounts for items not estimated during the concept estimate preparation. Use the recommended amounts as a general rule, but adjust as needed based on your understanding of the estimate and level of detail.
</t>
        </r>
        <r>
          <rPr>
            <b/>
            <sz val="10"/>
            <rFont val="Arial"/>
            <family val="2"/>
          </rPr>
          <t>Recommended</t>
        </r>
        <r>
          <rPr>
            <sz val="10"/>
            <rFont val="Arial"/>
            <family val="2"/>
          </rPr>
          <t xml:space="preserve">
    10% Rural minor pavement preservation without complications.
    15% Urban minor pavement preservation without complications.
    20% New construction, reconstruction, rehabilitation, widening, trails, landscaping,
            and enhancement.
      0% IF all the items are estimated. </t>
        </r>
      </text>
    </comment>
    <comment ref="E19" authorId="1">
      <text>
        <r>
          <rPr>
            <b/>
            <sz val="10"/>
            <rFont val="Arial"/>
            <family val="2"/>
          </rPr>
          <t xml:space="preserve">Recommended:
</t>
        </r>
        <r>
          <rPr>
            <sz val="10"/>
            <rFont val="Arial"/>
            <family val="2"/>
          </rPr>
          <t xml:space="preserve">This % is based on the </t>
        </r>
        <r>
          <rPr>
            <b/>
            <sz val="10"/>
            <rFont val="Arial"/>
            <family val="2"/>
          </rPr>
          <t>design complexity vs. construction costs</t>
        </r>
        <r>
          <rPr>
            <sz val="10"/>
            <rFont val="Arial"/>
            <family val="2"/>
          </rPr>
          <t xml:space="preserve">. Adjust the general recommendations to fit the anticipated needs of the project. 
</t>
        </r>
        <r>
          <rPr>
            <u val="single"/>
            <sz val="10"/>
            <rFont val="Arial"/>
            <family val="2"/>
          </rPr>
          <t>General recommendations:</t>
        </r>
        <r>
          <rPr>
            <sz val="10"/>
            <rFont val="Arial"/>
            <family val="2"/>
          </rPr>
          <t xml:space="preserve">
4% - Purple/Orange Book
8% - Blue Book</t>
        </r>
        <r>
          <rPr>
            <b/>
            <sz val="10"/>
            <rFont val="Arial"/>
            <family val="2"/>
          </rPr>
          <t xml:space="preserve">
</t>
        </r>
        <r>
          <rPr>
            <sz val="10"/>
            <rFont val="Arial"/>
            <family val="2"/>
          </rPr>
          <t xml:space="preserve">16% - Local Government
PE costs can range higher than 16% depending on design complexity and the size of the project.  Small projects generally have a higher PE % than large projects.
</t>
        </r>
      </text>
    </comment>
    <comment ref="E20" authorId="1">
      <text>
        <r>
          <rPr>
            <sz val="10"/>
            <rFont val="Arial"/>
            <family val="2"/>
          </rPr>
          <t xml:space="preserve">Recommended:
</t>
        </r>
        <r>
          <rPr>
            <b/>
            <sz val="10"/>
            <rFont val="Arial"/>
            <family val="2"/>
          </rPr>
          <t>Construction, Reconstruction, Rehabilitation:</t>
        </r>
        <r>
          <rPr>
            <sz val="10"/>
            <rFont val="Arial"/>
            <family val="2"/>
          </rPr>
          <t xml:space="preserve">
$500K - $1M: 8.0%
$1M - $5M: 7.5%
$5M - $15M: 7.0%
&gt;$15M: 6.5%
</t>
        </r>
        <r>
          <rPr>
            <b/>
            <sz val="10"/>
            <rFont val="Arial"/>
            <family val="2"/>
          </rPr>
          <t>Spot Improvement, Safety, Enhancements:</t>
        </r>
        <r>
          <rPr>
            <sz val="10"/>
            <rFont val="Arial"/>
            <family val="2"/>
          </rPr>
          <t xml:space="preserve">
$0 - $500K: 12.0%
$500K - $5M: 8.5%
$5M - $15M: 7.5%
</t>
        </r>
        <r>
          <rPr>
            <b/>
            <sz val="10"/>
            <rFont val="Arial"/>
            <family val="2"/>
          </rPr>
          <t>Signals, ATMS:</t>
        </r>
        <r>
          <rPr>
            <sz val="10"/>
            <rFont val="Arial"/>
            <family val="2"/>
          </rPr>
          <t xml:space="preserve"> 13.5%
</t>
        </r>
        <r>
          <rPr>
            <b/>
            <sz val="10"/>
            <rFont val="Arial"/>
            <family val="2"/>
          </rPr>
          <t>Local Goverment</t>
        </r>
        <r>
          <rPr>
            <sz val="10"/>
            <rFont val="Arial"/>
            <family val="2"/>
          </rPr>
          <t xml:space="preserve">:16%  </t>
        </r>
      </text>
    </comment>
  </commentList>
</comments>
</file>

<file path=xl/comments3.xml><?xml version="1.0" encoding="utf-8"?>
<comments xmlns="http://schemas.openxmlformats.org/spreadsheetml/2006/main">
  <authors>
    <author>Egan, Trevor</author>
  </authors>
  <commentList>
    <comment ref="D6" authorId="0">
      <text>
        <r>
          <rPr>
            <sz val="8"/>
            <rFont val="Tahoma"/>
            <family val="2"/>
          </rPr>
          <t>2019 is set to 0% to avoid adding an additional year to the inflation factor.</t>
        </r>
        <r>
          <rPr>
            <sz val="9"/>
            <rFont val="Tahoma"/>
            <family val="2"/>
          </rPr>
          <t xml:space="preserve">
</t>
        </r>
      </text>
    </comment>
  </commentList>
</comments>
</file>

<file path=xl/comments4.xml><?xml version="1.0" encoding="utf-8"?>
<comments xmlns="http://schemas.openxmlformats.org/spreadsheetml/2006/main">
  <authors>
    <author>Neil Sharp</author>
  </authors>
  <commentList>
    <comment ref="B43" authorId="0">
      <text>
        <r>
          <rPr>
            <sz val="9"/>
            <rFont val="Tahoma"/>
            <family val="2"/>
          </rPr>
          <t>If using Lump Sum for drainage, include a brief explanation in the remarks column and add comments to the Assumptions tab under "Project Assumptions"</t>
        </r>
      </text>
    </comment>
    <comment ref="B9" authorId="0">
      <text>
        <r>
          <rPr>
            <sz val="9"/>
            <rFont val="Tahoma"/>
            <family val="2"/>
          </rPr>
          <t>Region 2 ONLY. All other Regions delete this row.</t>
        </r>
      </text>
    </comment>
    <comment ref="C5" authorId="0">
      <text>
        <r>
          <rPr>
            <sz val="9"/>
            <rFont val="Tahoma"/>
            <family val="2"/>
          </rPr>
          <t>Use Item List tab to look up and copy items as needed</t>
        </r>
      </text>
    </comment>
  </commentList>
</comments>
</file>

<file path=xl/comments5.xml><?xml version="1.0" encoding="utf-8"?>
<comments xmlns="http://schemas.openxmlformats.org/spreadsheetml/2006/main">
  <authors>
    <author>Neil Sharp</author>
  </authors>
  <commentList>
    <comment ref="C5" authorId="0">
      <text>
        <r>
          <rPr>
            <sz val="9"/>
            <rFont val="Tahoma"/>
            <family val="2"/>
          </rPr>
          <t>Use Item List tab to look up and copy items as needed</t>
        </r>
      </text>
    </comment>
  </commentList>
</comments>
</file>

<file path=xl/comments6.xml><?xml version="1.0" encoding="utf-8"?>
<comments xmlns="http://schemas.openxmlformats.org/spreadsheetml/2006/main">
  <authors>
    <author>Neil Sharp</author>
  </authors>
  <commentList>
    <comment ref="B7" authorId="0">
      <text>
        <r>
          <rPr>
            <sz val="9"/>
            <rFont val="Tahoma"/>
            <family val="2"/>
          </rPr>
          <t>See link below for bridge cost data</t>
        </r>
      </text>
    </comment>
    <comment ref="B10" authorId="0">
      <text>
        <r>
          <rPr>
            <sz val="9"/>
            <rFont val="Tahoma"/>
            <family val="2"/>
          </rPr>
          <t>See link below for Wall Cost Data</t>
        </r>
      </text>
    </comment>
    <comment ref="B13" authorId="0">
      <text>
        <r>
          <rPr>
            <sz val="9"/>
            <rFont val="Tahoma"/>
            <family val="2"/>
          </rPr>
          <t>See link below for Sign Structure Cost Data</t>
        </r>
      </text>
    </comment>
    <comment ref="C5" authorId="0">
      <text>
        <r>
          <rPr>
            <sz val="9"/>
            <rFont val="Tahoma"/>
            <family val="2"/>
          </rPr>
          <t>Use Item List tab to look up and copy items as needed</t>
        </r>
      </text>
    </comment>
  </commentList>
</comments>
</file>

<file path=xl/comments7.xml><?xml version="1.0" encoding="utf-8"?>
<comments xmlns="http://schemas.openxmlformats.org/spreadsheetml/2006/main">
  <authors>
    <author>Neil Sharp</author>
  </authors>
  <commentList>
    <comment ref="C5" authorId="0">
      <text>
        <r>
          <rPr>
            <sz val="9"/>
            <rFont val="Tahoma"/>
            <family val="2"/>
          </rPr>
          <t>Use Item List tab to look up and copy items as needed</t>
        </r>
      </text>
    </comment>
  </commentList>
</comments>
</file>

<file path=xl/comments8.xml><?xml version="1.0" encoding="utf-8"?>
<comments xmlns="http://schemas.openxmlformats.org/spreadsheetml/2006/main">
  <authors>
    <author>Neil Sharp</author>
  </authors>
  <commentList>
    <comment ref="B6" authorId="0">
      <text>
        <r>
          <rPr>
            <sz val="9"/>
            <rFont val="Tahoma"/>
            <family val="2"/>
          </rPr>
          <t>Contact Region Utility Coordinator for assistance.</t>
        </r>
      </text>
    </comment>
    <comment ref="B31" authorId="0">
      <text>
        <r>
          <rPr>
            <sz val="9"/>
            <rFont val="Tahoma"/>
            <family val="2"/>
          </rPr>
          <t>Contact Region or Central ROW personel for assistance.</t>
        </r>
      </text>
    </comment>
    <comment ref="C5" authorId="0">
      <text>
        <r>
          <rPr>
            <sz val="9"/>
            <rFont val="Tahoma"/>
            <family val="2"/>
          </rPr>
          <t>Use Item List tab to look up and copy items as needed</t>
        </r>
      </text>
    </comment>
    <comment ref="B17" authorId="0">
      <text>
        <r>
          <rPr>
            <sz val="9"/>
            <rFont val="Tahoma"/>
            <family val="2"/>
          </rPr>
          <t>Contact Region Utility Coordinator for assistance.</t>
        </r>
      </text>
    </comment>
  </commentList>
</comments>
</file>

<file path=xl/comments9.xml><?xml version="1.0" encoding="utf-8"?>
<comments xmlns="http://schemas.openxmlformats.org/spreadsheetml/2006/main">
  <authors>
    <author>Bradley G. Palmer</author>
    <author>Neil Sharp</author>
  </authors>
  <commentList>
    <comment ref="P7" authorId="0">
      <text>
        <r>
          <rPr>
            <sz val="9"/>
            <rFont val="Tahoma"/>
            <family val="2"/>
          </rPr>
          <t>MC-70 or MC-250</t>
        </r>
      </text>
    </comment>
    <comment ref="R7" authorId="0">
      <text>
        <r>
          <rPr>
            <sz val="9"/>
            <rFont val="Tahoma"/>
            <family val="2"/>
          </rPr>
          <t>CSS-1, CSS-1H, CQS-1H, SS-1H</t>
        </r>
      </text>
    </comment>
    <comment ref="Z7" authorId="0">
      <text>
        <r>
          <rPr>
            <sz val="9"/>
            <rFont val="Tahoma"/>
            <family val="2"/>
          </rPr>
          <t>Used on chip seal and rumble strips, CSS-1, 1h, SS-1, HFMS-2P</t>
        </r>
      </text>
    </comment>
    <comment ref="C14" authorId="0">
      <text>
        <r>
          <rPr>
            <sz val="9"/>
            <rFont val="Tahoma"/>
            <family val="2"/>
          </rPr>
          <t>Used on OGSC</t>
        </r>
      </text>
    </comment>
    <comment ref="C15" authorId="0">
      <text>
        <r>
          <rPr>
            <sz val="9"/>
            <rFont val="Tahoma"/>
            <family val="2"/>
          </rPr>
          <t>Between UTBC and asphalt</t>
        </r>
      </text>
    </comment>
    <comment ref="F15" authorId="0">
      <text>
        <r>
          <rPr>
            <sz val="9"/>
            <rFont val="Tahoma"/>
            <family val="2"/>
          </rPr>
          <t>See spec 02748 for application rate</t>
        </r>
      </text>
    </comment>
    <comment ref="C16" authorId="0">
      <text>
        <r>
          <rPr>
            <sz val="9"/>
            <rFont val="Tahoma"/>
            <family val="2"/>
          </rPr>
          <t>Between layers of asphalt</t>
        </r>
      </text>
    </comment>
    <comment ref="F16" authorId="0">
      <text>
        <r>
          <rPr>
            <sz val="9"/>
            <rFont val="Tahoma"/>
            <family val="2"/>
          </rPr>
          <t>See spec 02748 for application rate</t>
        </r>
      </text>
    </comment>
    <comment ref="C17" authorId="0">
      <text>
        <r>
          <rPr>
            <sz val="9"/>
            <rFont val="Tahoma"/>
            <family val="2"/>
          </rPr>
          <t>Emulsified Asphalt used on Chip Seal</t>
        </r>
      </text>
    </comment>
    <comment ref="C18" authorId="0">
      <text>
        <r>
          <rPr>
            <sz val="9"/>
            <rFont val="Tahoma"/>
            <family val="2"/>
          </rPr>
          <t>Used on chip seal and rumble strips, CSS-1, 1h, SS-1, HFMS-2P</t>
        </r>
      </text>
    </comment>
    <comment ref="G25" authorId="0">
      <text>
        <r>
          <rPr>
            <sz val="9"/>
            <rFont val="Tahoma"/>
            <family val="2"/>
          </rPr>
          <t>V:H = V/H
H:V = V/H
Enter 0 for curb and gutter</t>
        </r>
      </text>
    </comment>
    <comment ref="AA25" authorId="0">
      <text>
        <r>
          <rPr>
            <sz val="9"/>
            <rFont val="Tahoma"/>
            <family val="2"/>
          </rPr>
          <t>Lean Concrete Base Course</t>
        </r>
      </text>
    </comment>
    <comment ref="X7" authorId="0">
      <text>
        <r>
          <rPr>
            <sz val="9"/>
            <rFont val="Tahoma"/>
            <family val="2"/>
          </rPr>
          <t>RS-2, CRS-2A, CRS-2B, CRS-2P, LMCRS-2, HFRS-2P,
HFMS-2, HFMS-2P</t>
        </r>
      </text>
    </comment>
    <comment ref="Y25" authorId="0">
      <text>
        <r>
          <rPr>
            <sz val="9"/>
            <rFont val="Tahoma"/>
            <family val="2"/>
          </rPr>
          <t>PG 64-34, 70-28, 70-34, 64-28</t>
        </r>
      </text>
    </comment>
    <comment ref="V7" authorId="0">
      <text>
        <r>
          <rPr>
            <sz val="9"/>
            <rFont val="Tahoma"/>
            <family val="2"/>
          </rPr>
          <t>CSS-1, CSS-1H, CQS-1H, SS-1H</t>
        </r>
      </text>
    </comment>
    <comment ref="D7" authorId="1">
      <text>
        <r>
          <rPr>
            <sz val="9"/>
            <rFont val="Tahoma"/>
            <family val="2"/>
          </rPr>
          <t>For unit weights see Asphalt Surfacing Materials Table, Roadway Design Manual of Instruction Section 17 pg. 43</t>
        </r>
      </text>
    </comment>
    <comment ref="F18" authorId="1">
      <text>
        <r>
          <rPr>
            <sz val="9"/>
            <rFont val="Tahoma"/>
            <family val="2"/>
          </rPr>
          <t>For application Rate, refer to Specification 02785 for Chip Seals or 02761 for Longitudinal Rumble Strip</t>
        </r>
      </text>
    </comment>
    <comment ref="F25" authorId="1">
      <text>
        <r>
          <rPr>
            <b/>
            <sz val="9"/>
            <rFont val="Tahoma"/>
            <family val="2"/>
          </rPr>
          <t>Enter 0 -</t>
        </r>
        <r>
          <rPr>
            <sz val="9"/>
            <rFont val="Tahoma"/>
            <family val="2"/>
          </rPr>
          <t xml:space="preserve"> Curb/Gutter (assumes no wedge)</t>
        </r>
        <r>
          <rPr>
            <b/>
            <sz val="9"/>
            <rFont val="Tahoma"/>
            <family val="2"/>
          </rPr>
          <t xml:space="preserve">
Enter 1</t>
        </r>
        <r>
          <rPr>
            <sz val="9"/>
            <rFont val="Tahoma"/>
            <family val="2"/>
          </rPr>
          <t xml:space="preserve">  - one side to be constructed/widened.
</t>
        </r>
        <r>
          <rPr>
            <b/>
            <sz val="9"/>
            <rFont val="Tahoma"/>
            <family val="2"/>
          </rPr>
          <t>Enter 2</t>
        </r>
        <r>
          <rPr>
            <sz val="9"/>
            <rFont val="Tahoma"/>
            <family val="2"/>
          </rPr>
          <t xml:space="preserve"> - both sides to be constructed/widened</t>
        </r>
      </text>
    </comment>
    <comment ref="E60" authorId="1">
      <text>
        <r>
          <rPr>
            <sz val="9"/>
            <rFont val="Tahoma"/>
            <family val="2"/>
          </rPr>
          <t>No. of Solid Lines
Enter 0 - 4 depending on edges to be striped (3 - 4 for divided highways calculated as one roadway).</t>
        </r>
      </text>
    </comment>
    <comment ref="G60" authorId="1">
      <text>
        <r>
          <rPr>
            <sz val="9"/>
            <rFont val="Tahoma"/>
            <family val="2"/>
          </rPr>
          <t>Enter 0: No Median striping (or already counted as edge striping).
Enter 1: Median striping
Adjust application rate as needed for median double solid or solid broken</t>
        </r>
      </text>
    </comment>
    <comment ref="F60" authorId="1">
      <text>
        <r>
          <rPr>
            <sz val="9"/>
            <rFont val="Tahoma"/>
            <family val="2"/>
          </rPr>
          <t>No. of Broken lines
Ave. number broken line required to separate traffic in the same direction. Consider both directions. Consider averaging the two directions if one direction has an additional lane, drops a lane, and the other direction then adds a lane.</t>
        </r>
      </text>
    </comment>
    <comment ref="H60" authorId="1">
      <text>
        <r>
          <rPr>
            <sz val="9"/>
            <rFont val="Tahoma"/>
            <family val="2"/>
          </rPr>
          <t>Include an intersection length adjustment if additional striping will be needed at intersections. Recommend using 300 ft for each leg of the intersection requiring additional striping.</t>
        </r>
      </text>
    </comment>
    <comment ref="P62" authorId="1">
      <text>
        <r>
          <rPr>
            <sz val="9"/>
            <rFont val="Tahoma"/>
            <family val="2"/>
          </rPr>
          <t>Per Specification 02765 4 inch solid line - from 190 to 240 ft/gal
Adjust as needed for concrete pavement striping if only 1 application will be required instead of 2, half the application rate.</t>
        </r>
      </text>
    </comment>
    <comment ref="P63" authorId="1">
      <text>
        <r>
          <rPr>
            <sz val="9"/>
            <rFont val="Tahoma"/>
            <family val="2"/>
          </rPr>
          <t>Per Specification 02765 4 inch broken line - from 760 to 960 ft/gal
(No need adjust application rate for Concrete Pavement due to the single application of each black and white already considered in the doubling in the Pavement Marking Paint calcuation)</t>
        </r>
      </text>
    </comment>
    <comment ref="P64" authorId="1">
      <text>
        <r>
          <rPr>
            <sz val="9"/>
            <rFont val="Tahoma"/>
            <family val="2"/>
          </rPr>
          <t>See Specification 02765  
Recommend:
95 for 2 Solid lines.
 71 for 2 Solid, Broken lines
47 for 2 Double Solid lines
For concrete pavement, if only 1 application will be required, half the application rate.</t>
        </r>
      </text>
    </comment>
    <comment ref="P65" authorId="1">
      <text>
        <r>
          <rPr>
            <sz val="9"/>
            <rFont val="Tahoma"/>
            <family val="2"/>
          </rPr>
          <t>Adjust as needed.
Recommended:
Use Solid application rate.
(No need adjust application rate for Concrete Pavement due to the single application of each black and white already considered in the doubling in the Pavement Marking Paint calcuation)</t>
        </r>
      </text>
    </comment>
    <comment ref="AI25" authorId="1">
      <text>
        <r>
          <rPr>
            <sz val="9"/>
            <rFont val="Tahoma"/>
            <family val="2"/>
          </rPr>
          <t>Factor used to calculate the actual width of the mateial layer based on a 2% cross slope projection. This factor is for 2% cross slope only.</t>
        </r>
      </text>
    </comment>
    <comment ref="H77" authorId="1">
      <text>
        <r>
          <rPr>
            <sz val="9"/>
            <rFont val="Tahoma"/>
            <family val="2"/>
          </rPr>
          <t>Include explanation for calculation, units, and where it is included in the estimate.</t>
        </r>
      </text>
    </comment>
    <comment ref="Y77" authorId="1">
      <text>
        <r>
          <rPr>
            <sz val="9"/>
            <rFont val="Tahoma"/>
            <family val="2"/>
          </rPr>
          <t>Include explanation for calculation, units, and where it is included in the estimate.</t>
        </r>
      </text>
    </comment>
    <comment ref="C77" authorId="1">
      <text>
        <r>
          <rPr>
            <sz val="9"/>
            <rFont val="Tahoma"/>
            <family val="2"/>
          </rPr>
          <t>Add identifier for reference ie. Roadway, MP, Station, etc.</t>
        </r>
      </text>
    </comment>
    <comment ref="S77" authorId="1">
      <text>
        <r>
          <rPr>
            <sz val="9"/>
            <rFont val="Tahoma"/>
            <family val="2"/>
          </rPr>
          <t>Add identifier for reference ie. Roadway, MP, Station, etc.</t>
        </r>
      </text>
    </comment>
    <comment ref="J60" authorId="1">
      <text>
        <r>
          <rPr>
            <sz val="9"/>
            <rFont val="Tahoma"/>
            <family val="2"/>
          </rPr>
          <t>Final calcuation of paint quantity includes adding a second application.</t>
        </r>
      </text>
    </comment>
    <comment ref="Q26" authorId="1">
      <text>
        <r>
          <rPr>
            <sz val="9"/>
            <rFont val="Tahoma"/>
            <family val="2"/>
          </rPr>
          <t xml:space="preserve">Determine how many longitudinal joints will be in the roadway.
</t>
        </r>
        <r>
          <rPr>
            <b/>
            <sz val="9"/>
            <rFont val="Tahoma"/>
            <family val="2"/>
          </rPr>
          <t xml:space="preserve">Recommend: </t>
        </r>
        <r>
          <rPr>
            <sz val="9"/>
            <rFont val="Tahoma"/>
            <family val="2"/>
          </rPr>
          <t>1 longitudinal joint per 12' of width or 1 per lane.</t>
        </r>
      </text>
    </comment>
    <comment ref="R8" authorId="1">
      <text>
        <r>
          <rPr>
            <sz val="9"/>
            <rFont val="Tahoma"/>
            <family val="2"/>
          </rPr>
          <t>Max lift is 3 inch
If using SMA and HMA, the lift is the depth of the HMA layer, max. 3"</t>
        </r>
      </text>
    </comment>
    <comment ref="S8" authorId="1">
      <text>
        <r>
          <rPr>
            <sz val="9"/>
            <rFont val="Tahoma"/>
            <family val="2"/>
          </rPr>
          <t>Enter 0 to remove formula if tack coat will be paid as part of HMA</t>
        </r>
      </text>
    </comment>
    <comment ref="R26" authorId="1">
      <text>
        <r>
          <rPr>
            <sz val="9"/>
            <rFont val="Tahoma"/>
            <family val="2"/>
          </rPr>
          <t>Width is calculated at the center of the pavement depth and includes the full pavement section and wedge section.</t>
        </r>
      </text>
    </comment>
    <comment ref="M26" authorId="1">
      <text>
        <r>
          <rPr>
            <sz val="9"/>
            <rFont val="Tahoma"/>
            <family val="2"/>
          </rPr>
          <t>Width is calculated at the center of the pavement depth and includes the full pavement section and wedge section.</t>
        </r>
      </text>
    </comment>
    <comment ref="I26" authorId="1">
      <text>
        <r>
          <rPr>
            <sz val="9"/>
            <rFont val="Tahoma"/>
            <family val="2"/>
          </rPr>
          <t>Width is calculated at the center of the pavement depth and includes the full pavement section and wedge section.</t>
        </r>
      </text>
    </comment>
    <comment ref="U26" authorId="1">
      <text>
        <r>
          <rPr>
            <sz val="9"/>
            <rFont val="Tahoma"/>
            <family val="2"/>
          </rPr>
          <t>Width is calculated at the center of the pavement depth and includes the full pavement section and wedge section.</t>
        </r>
      </text>
    </comment>
  </commentList>
</comments>
</file>

<file path=xl/sharedStrings.xml><?xml version="1.0" encoding="utf-8"?>
<sst xmlns="http://schemas.openxmlformats.org/spreadsheetml/2006/main" count="4014" uniqueCount="2527">
  <si>
    <t>Traffic Control</t>
  </si>
  <si>
    <t>Right of Way</t>
  </si>
  <si>
    <t>Utilities</t>
  </si>
  <si>
    <t>Mobilization</t>
  </si>
  <si>
    <t>Item</t>
  </si>
  <si>
    <t>Quantity</t>
  </si>
  <si>
    <t>Price</t>
  </si>
  <si>
    <t>Units</t>
  </si>
  <si>
    <t>Cost</t>
  </si>
  <si>
    <t>Remarks</t>
  </si>
  <si>
    <t>Ton</t>
  </si>
  <si>
    <t>ft</t>
  </si>
  <si>
    <t>Each</t>
  </si>
  <si>
    <t>Lump</t>
  </si>
  <si>
    <t>Item #</t>
  </si>
  <si>
    <t>P.E.</t>
  </si>
  <si>
    <t>Construction</t>
  </si>
  <si>
    <t>C.E.</t>
  </si>
  <si>
    <t>TOTAL</t>
  </si>
  <si>
    <t>Construction Subtotal</t>
  </si>
  <si>
    <t>Incentives</t>
  </si>
  <si>
    <t>Miscellaneous</t>
  </si>
  <si>
    <t>Incentives Subtotal</t>
  </si>
  <si>
    <t>P.E. Cost</t>
  </si>
  <si>
    <t>C.E. Cost</t>
  </si>
  <si>
    <t>yrs for inflation</t>
  </si>
  <si>
    <t>(END) =</t>
  </si>
  <si>
    <t>HMA</t>
  </si>
  <si>
    <t>UTBC</t>
  </si>
  <si>
    <t>GB</t>
  </si>
  <si>
    <t>Prime Coat</t>
  </si>
  <si>
    <t>Length</t>
  </si>
  <si>
    <t>Width</t>
  </si>
  <si>
    <t>Tons</t>
  </si>
  <si>
    <t>gal/ton</t>
  </si>
  <si>
    <t>Unit Weights</t>
  </si>
  <si>
    <t>Application Rates</t>
  </si>
  <si>
    <t>Borrow</t>
  </si>
  <si>
    <t>gal/sy</t>
  </si>
  <si>
    <t>Emulsified Asphalt LMCRS-2</t>
  </si>
  <si>
    <t>Flush Coat</t>
  </si>
  <si>
    <t>Public Information Services</t>
  </si>
  <si>
    <t>Granular Borrow</t>
  </si>
  <si>
    <t>Clearing and Grubbing</t>
  </si>
  <si>
    <t>Acre</t>
  </si>
  <si>
    <t>Loose Riprap</t>
  </si>
  <si>
    <t>Pavement Marking Paint</t>
  </si>
  <si>
    <t>gal</t>
  </si>
  <si>
    <t>Crash Cushion Type G</t>
  </si>
  <si>
    <t>Remove Pipe Culvert</t>
  </si>
  <si>
    <t>Project Length =</t>
  </si>
  <si>
    <t>miles</t>
  </si>
  <si>
    <t>Remove Fence</t>
  </si>
  <si>
    <t>Liquid Asphalt MC-70 or MC-250</t>
  </si>
  <si>
    <t>Roadway Excavation (Plan Quantity)</t>
  </si>
  <si>
    <t>Cost Estimate - Concept Level</t>
  </si>
  <si>
    <t>Preliminary Engineering (% of Construction + Incentives) =</t>
  </si>
  <si>
    <t>Construction Engineering (% of Construction + Incentives) =</t>
  </si>
  <si>
    <t>Subtotal</t>
  </si>
  <si>
    <t>Roadway</t>
  </si>
  <si>
    <t>Tack Coat</t>
  </si>
  <si>
    <t>lb/cf</t>
  </si>
  <si>
    <t>Water</t>
  </si>
  <si>
    <t>gal/cy UTBC</t>
  </si>
  <si>
    <t>gal/cy GB</t>
  </si>
  <si>
    <t>OGSC</t>
  </si>
  <si>
    <t>sy</t>
  </si>
  <si>
    <t>cy</t>
  </si>
  <si>
    <t>Pavements</t>
  </si>
  <si>
    <t>Earthwork</t>
  </si>
  <si>
    <t>Roadway Excavation</t>
  </si>
  <si>
    <t>in</t>
  </si>
  <si>
    <t>Depth</t>
  </si>
  <si>
    <t>Vol</t>
  </si>
  <si>
    <t>Area</t>
  </si>
  <si>
    <t>TOTALS</t>
  </si>
  <si>
    <t>Top Width</t>
  </si>
  <si>
    <t>PCCP</t>
  </si>
  <si>
    <t>Side Slope</t>
  </si>
  <si>
    <t>Granular Backfill Borrow</t>
  </si>
  <si>
    <t>1,000 gal</t>
  </si>
  <si>
    <t>Material</t>
  </si>
  <si>
    <t>Oil</t>
  </si>
  <si>
    <t># of apps</t>
  </si>
  <si>
    <t>Maintenance of Traffic</t>
  </si>
  <si>
    <t>01557001*</t>
  </si>
  <si>
    <t>Borrow (Plan Quantity)</t>
  </si>
  <si>
    <t>Granular Borrow (Plan Quantity)</t>
  </si>
  <si>
    <t>Granular Backfill Borrow (Plan Quantity)</t>
  </si>
  <si>
    <t>Portland Cement Concrete Pavement 9 inch Thick</t>
  </si>
  <si>
    <t>Concrete Curb and Gutter Type B1</t>
  </si>
  <si>
    <t>Concrete Sidewalk</t>
  </si>
  <si>
    <t>Unit</t>
  </si>
  <si>
    <t>Unit Price</t>
  </si>
  <si>
    <t>Lighting</t>
  </si>
  <si>
    <t>Remove Bridge</t>
  </si>
  <si>
    <t>Structures</t>
  </si>
  <si>
    <t>Walls</t>
  </si>
  <si>
    <t>Sq ft</t>
  </si>
  <si>
    <t>Signals</t>
  </si>
  <si>
    <t>Assumed LxW (deck area)</t>
  </si>
  <si>
    <t>Assumed LxH (wall area)</t>
  </si>
  <si>
    <t>Environmental Mitigation</t>
  </si>
  <si>
    <t>Instructions</t>
  </si>
  <si>
    <t>The pavements chart can be used for full depth or partial depth work. Enter assumed length, top width, side slopes, and depth of each layer. Quantities are given in volume and weight.</t>
  </si>
  <si>
    <t>The totals for these items are referenced into the master item list on the first tab.</t>
  </si>
  <si>
    <t>Roadway and Drainage</t>
  </si>
  <si>
    <t>Traffic and Safety</t>
  </si>
  <si>
    <t>ITS</t>
  </si>
  <si>
    <t>Traffic, Safety &amp; ITS</t>
  </si>
  <si>
    <t>Highway Lighting System</t>
  </si>
  <si>
    <t>Bridges</t>
  </si>
  <si>
    <t>New Structure</t>
  </si>
  <si>
    <t>sq ft</t>
  </si>
  <si>
    <t>Extend Box Culvert</t>
  </si>
  <si>
    <t>New Box Culvert</t>
  </si>
  <si>
    <t>Retaining Wall</t>
  </si>
  <si>
    <t>Environmental</t>
  </si>
  <si>
    <t>Environmental and Landscaping</t>
  </si>
  <si>
    <t>Ft</t>
  </si>
  <si>
    <t>Relocate Gas Line</t>
  </si>
  <si>
    <t>Relocate Power Line</t>
  </si>
  <si>
    <t>Relocate Fiber Optic</t>
  </si>
  <si>
    <t>Relocate Phone</t>
  </si>
  <si>
    <t>Right-of-way</t>
  </si>
  <si>
    <t>Lane Rental Incentive</t>
  </si>
  <si>
    <t>Traffic and Safety Subtotal</t>
  </si>
  <si>
    <t>ITS Subtotal</t>
  </si>
  <si>
    <t>Right-of-Way Subtotal</t>
  </si>
  <si>
    <t>Traffic</t>
  </si>
  <si>
    <t>Structures Subtotal</t>
  </si>
  <si>
    <t>Geotech</t>
  </si>
  <si>
    <t>Geotech Report</t>
  </si>
  <si>
    <t>Drilling</t>
  </si>
  <si>
    <t>Choose Either Ton or Vol</t>
  </si>
  <si>
    <t>Manually Input</t>
  </si>
  <si>
    <t>Back to MAIN</t>
  </si>
  <si>
    <t>Assumption Tab</t>
  </si>
  <si>
    <t>The first tab is the summary of the results of the estimate. Verify all formulas.</t>
  </si>
  <si>
    <t>1000 gal</t>
  </si>
  <si>
    <t>UTB</t>
  </si>
  <si>
    <t>Hydraulics</t>
  </si>
  <si>
    <t>Assumed Yearly Inflation for Engineering Services (PE and CE) (%/yr) =</t>
  </si>
  <si>
    <t>Urban/Suburban Residential</t>
  </si>
  <si>
    <t>Urban/Suburban Commercial</t>
  </si>
  <si>
    <t>non-Urban/Suburban Residential</t>
  </si>
  <si>
    <t>non-Urban/Suburban Commercial</t>
  </si>
  <si>
    <t xml:space="preserve">non-Urban/Suburban Farm </t>
  </si>
  <si>
    <t>Change Order Contingency</t>
  </si>
  <si>
    <t>Traffic Signal System</t>
  </si>
  <si>
    <t>Aesthetics</t>
  </si>
  <si>
    <t>UDOT Oversight</t>
  </si>
  <si>
    <t>Usually 7-10% of construction</t>
  </si>
  <si>
    <t>Usually 3-5% of construction</t>
  </si>
  <si>
    <t>Inflation</t>
  </si>
  <si>
    <t>Year</t>
  </si>
  <si>
    <t>Rate</t>
  </si>
  <si>
    <t>Cumulative Inflation Factor</t>
  </si>
  <si>
    <t>Recommended Rate</t>
  </si>
  <si>
    <t>Construction Items</t>
  </si>
  <si>
    <t>18 Inch Irrigation/Storm Drain, Class C, smooth</t>
  </si>
  <si>
    <t>24 Inch Irrigation/Storm Drain, Class C, smooth</t>
  </si>
  <si>
    <t>36 Inch Irrigation/Storm Drain, Class C, smooth</t>
  </si>
  <si>
    <t>Untreated Base Course</t>
  </si>
  <si>
    <t>Untreated Base Course (Plan Quantity)</t>
  </si>
  <si>
    <t>Chip Seal Coat, Type II</t>
  </si>
  <si>
    <t>Rotomilling - 1 Inch</t>
  </si>
  <si>
    <t>W-Beam Guardrail 72 inch Wood Post</t>
  </si>
  <si>
    <t>Sign Type A-1, 12 Inch X 36 Inch</t>
  </si>
  <si>
    <t>Remove Sign Less Than 20 Square Feet</t>
  </si>
  <si>
    <t>Relocate Sign Less Than 20 Square Feet</t>
  </si>
  <si>
    <t>02892001D</t>
  </si>
  <si>
    <t>16525001D</t>
  </si>
  <si>
    <t>1D Conduit</t>
  </si>
  <si>
    <t>Main Tab</t>
  </si>
  <si>
    <t>Inflation Tab</t>
  </si>
  <si>
    <t>Items not Estimated</t>
  </si>
  <si>
    <t>Sign Structures</t>
  </si>
  <si>
    <t>Overhead Sign Structure</t>
  </si>
  <si>
    <t>Structures Cost Data is found on the UDOT Estimator's Corner Website</t>
  </si>
  <si>
    <t>The proposed commission request should be the total cost.</t>
  </si>
  <si>
    <t>UDOT Estimate Support can be reached at (801) 965-4708.</t>
  </si>
  <si>
    <t>Make sure formulas in the cost column are correct.</t>
  </si>
  <si>
    <t>Date</t>
  </si>
  <si>
    <t>Construction Items Inflation Factor =</t>
  </si>
  <si>
    <t>Items not Estimated (% of Construction) =</t>
  </si>
  <si>
    <t xml:space="preserve">Use, add, or delete items from the master list, using the correct item numbers and units. Enter appropriate unit prices. (PDBS and bid abstracts are price resources).  </t>
  </si>
  <si>
    <t>Environmental Mitigation Subtotal</t>
  </si>
  <si>
    <t>Construction Item Tabs</t>
  </si>
  <si>
    <t>Concept Cost Estimate Form</t>
  </si>
  <si>
    <t>Utilities,  Right of Way, and Incentives</t>
  </si>
  <si>
    <t>Please contact UDOT Estimate Support with any questions (801-965-4708).</t>
  </si>
  <si>
    <t xml:space="preserve"> </t>
  </si>
  <si>
    <t>Linked to Roadway Item</t>
  </si>
  <si>
    <t>The items listed above are some commonly used items.  The above list is not all inclusive.  Additional standard items can be located in the Measurement and Payment Document located on the UDOT website at http://udot.utah.gov/main/f?p=100:pg:0:::1:T,V:3687</t>
  </si>
  <si>
    <t>00000606*</t>
  </si>
  <si>
    <t>00000601*</t>
  </si>
  <si>
    <t>00000602*</t>
  </si>
  <si>
    <t>00000603*</t>
  </si>
  <si>
    <t>00000604*</t>
  </si>
  <si>
    <t>00000605*</t>
  </si>
  <si>
    <t>Early Completion - Time</t>
  </si>
  <si>
    <t>Bonded Wearing Course Incentive</t>
  </si>
  <si>
    <t>Pavement Smoothness Incentive</t>
  </si>
  <si>
    <t>Hot Mix Asphalt (HMA) Incentive</t>
  </si>
  <si>
    <t>Stone Matrix Asphalt (SMA) Incentive</t>
  </si>
  <si>
    <t>Open Graded Surface Course Incentive</t>
  </si>
  <si>
    <t>00000607*</t>
  </si>
  <si>
    <t>00000608*</t>
  </si>
  <si>
    <t>Miscellaneous Incentive</t>
  </si>
  <si>
    <t>Lean Concrete Base Course, 4 inch thick</t>
  </si>
  <si>
    <t>Emulsified Asphalt HFMS-2P</t>
  </si>
  <si>
    <t>Open Graded Surface Course</t>
  </si>
  <si>
    <t>Incentive</t>
  </si>
  <si>
    <t>Max Incentive</t>
  </si>
  <si>
    <t>Adjustment Factor</t>
  </si>
  <si>
    <t>01452 - Smoothness</t>
  </si>
  <si>
    <t>See below - Section 1.8</t>
  </si>
  <si>
    <t>/Lump</t>
  </si>
  <si>
    <t>Use the Calculations below</t>
  </si>
  <si>
    <t>00221S - Bidding Contract Time</t>
  </si>
  <si>
    <t>Early Completion Incentive - Section 1.7.D.4</t>
  </si>
  <si>
    <t>/Cal'd</t>
  </si>
  <si>
    <t>Cal'd</t>
  </si>
  <si>
    <t>00222S - Lane Rental</t>
  </si>
  <si>
    <t>Lane Rental Incentive - Section 1.8.B.1</t>
  </si>
  <si>
    <t>/Hour</t>
  </si>
  <si>
    <t>Hours</t>
  </si>
  <si>
    <t>02741 - HMA</t>
  </si>
  <si>
    <t>Gradation, Asphalt Binder Content &amp; Density - Section 1.6.D.1</t>
  </si>
  <si>
    <t>/Ton</t>
  </si>
  <si>
    <t>Recommend $1.50/Ton</t>
  </si>
  <si>
    <t>Joint Density - Section 1.6.D.6</t>
  </si>
  <si>
    <t>/Ft</t>
  </si>
  <si>
    <t>Recommend $0.20/Ft</t>
  </si>
  <si>
    <t>02744S - SMA</t>
  </si>
  <si>
    <t>Gradation, Asphalt Binder Content &amp; Density - Section 1.6.H</t>
  </si>
  <si>
    <t>02786 - OGSC</t>
  </si>
  <si>
    <t>Binder Content - Section 1.6.B.2</t>
  </si>
  <si>
    <t>Recommend $1.00/Ton</t>
  </si>
  <si>
    <t>Gradation - Section 1.6.B.3</t>
  </si>
  <si>
    <t>02787 - Bonded Wearing Course</t>
  </si>
  <si>
    <t>Binder Content - Section 1.6.C.3</t>
  </si>
  <si>
    <t>/Sq yd</t>
  </si>
  <si>
    <t>/SQ YD</t>
  </si>
  <si>
    <t>Recommend $0.05/Sq yd</t>
  </si>
  <si>
    <t>Gradation - Section 1.6.C.3</t>
  </si>
  <si>
    <t>Recommend $0.04/Sq yd</t>
  </si>
  <si>
    <t>Community Coordination Incentive</t>
  </si>
  <si>
    <t>Smoothness Calculations (2012 Specification - 01452)</t>
  </si>
  <si>
    <t>Table 1</t>
  </si>
  <si>
    <t>Profile Deviation</t>
  </si>
  <si>
    <t>Include which Incentive?</t>
  </si>
  <si>
    <t>Category*</t>
  </si>
  <si>
    <t>Section PI</t>
  </si>
  <si>
    <t>inch/mile</t>
  </si>
  <si>
    <t>inch/25 ft</t>
  </si>
  <si>
    <t>Both</t>
  </si>
  <si>
    <t>Category</t>
  </si>
  <si>
    <t>Usually 0.5% to 1% of the HMA cost.</t>
  </si>
  <si>
    <t>Table 2</t>
  </si>
  <si>
    <t>HMA, OGSC, BWC, &amp; SMA Incentive</t>
  </si>
  <si>
    <t>Incentive per Pavement Section</t>
  </si>
  <si>
    <t>Lanes</t>
  </si>
  <si>
    <t>$150 x [(Required in/mi) - (PI)]</t>
  </si>
  <si>
    <t>Required PI</t>
  </si>
  <si>
    <t>in/mile</t>
  </si>
  <si>
    <t>$100 x [(Required in/mi) - (PI)]</t>
  </si>
  <si>
    <t>Table 3</t>
  </si>
  <si>
    <t>PCCP Incentive</t>
  </si>
  <si>
    <t>$200 x [(Required in/mi) - (PI)]</t>
  </si>
  <si>
    <t>Definitions</t>
  </si>
  <si>
    <t>*Incentive applied to HMA, OGSC, BWC, and SMA</t>
  </si>
  <si>
    <t>Category 1</t>
  </si>
  <si>
    <t>1) Pavement surfaces having two or more opportunities for improving the ride.+</t>
  </si>
  <si>
    <t>2) Portland cement concrete paving.</t>
  </si>
  <si>
    <t>Category 2</t>
  </si>
  <si>
    <t>All other pavements incorporating single lift overlays.</t>
  </si>
  <si>
    <t>+ Opportunity to improve ride:</t>
  </si>
  <si>
    <t>1) Placing gravel or treated base course, Open-Graded Surface Course (OGSC), Bonded Wearing Course (BWC), Stone Matrix Asphalt (SMA), rotomilling, cold recycling, hot-in-place recycling, or each lift of paving.</t>
  </si>
  <si>
    <t>2) Lane leveling is not considered an opportunity to improve the ride.</t>
  </si>
  <si>
    <t>Incentive does not apply to the HMA surfaces on projects that include an OGSC, BWC, or SMA placed over the HMA surface.</t>
  </si>
  <si>
    <t xml:space="preserve">Apply Incentive to Category 1 and 2 pavements longer than 1,000 ft in length, including:  </t>
  </si>
  <si>
    <t>All traffic lanes</t>
  </si>
  <si>
    <t>Ramps</t>
  </si>
  <si>
    <t>Medians 8 ft and wider</t>
  </si>
  <si>
    <t>Turn lanes</t>
  </si>
  <si>
    <t>Bridges and approach slabs with final riding surfaces placed as part of the contract</t>
  </si>
  <si>
    <t xml:space="preserve">Do not apply Incentive to:  </t>
  </si>
  <si>
    <t>Pavements shorter than 1,000 ft</t>
  </si>
  <si>
    <t>Shoulders</t>
  </si>
  <si>
    <t>Medians narrower than 8 ft</t>
  </si>
  <si>
    <t>Horizontal curves with a centerline curvature radius less than 900 ft and areas within the superelevation transitions to these short radius curves</t>
  </si>
  <si>
    <t>Tapers</t>
  </si>
  <si>
    <t>Surfaces within 15 ft of bridge decks and approach slabs not paved as part of the contract</t>
  </si>
  <si>
    <t>Be sure to link applicable cells back to the Assumptions tab.</t>
  </si>
  <si>
    <t>Incentives Calculator</t>
  </si>
  <si>
    <t>2012 Specification</t>
  </si>
  <si>
    <t>Assumed Incentive</t>
  </si>
  <si>
    <t>Total:</t>
  </si>
  <si>
    <t>Neither</t>
  </si>
  <si>
    <t>Volume (ft^3/ft)</t>
  </si>
  <si>
    <t>Pavement Section - Each travel lane or median, 0.1 mile long.</t>
  </si>
  <si>
    <t>Assumed Construction FY Year =</t>
  </si>
  <si>
    <t>CCTV System</t>
  </si>
  <si>
    <t>Relocate Water/Irrigation/Sewer Lines</t>
  </si>
  <si>
    <t>Drainage</t>
  </si>
  <si>
    <t>Wetland Mitigation</t>
  </si>
  <si>
    <t>Noise Wall</t>
  </si>
  <si>
    <t>Temporary Erosion Control</t>
  </si>
  <si>
    <t>Silt Fence</t>
  </si>
  <si>
    <t>Erosion Control Supervisor</t>
  </si>
  <si>
    <t>Check Dams</t>
  </si>
  <si>
    <t>Landscaping</t>
  </si>
  <si>
    <t>Wood Fiber Mulch</t>
  </si>
  <si>
    <t>Contractor Furnished Topsoil</t>
  </si>
  <si>
    <t>Drill Seed</t>
  </si>
  <si>
    <t>Broadcast Seed</t>
  </si>
  <si>
    <t>Asphalt Binder</t>
  </si>
  <si>
    <t>Remove Overhead Sign</t>
  </si>
  <si>
    <t>Pulic Information Services</t>
  </si>
  <si>
    <t>PI</t>
  </si>
  <si>
    <t>Roadway Subtotal</t>
  </si>
  <si>
    <t>Drainage Subtotal</t>
  </si>
  <si>
    <t>Micro-Surfacing</t>
  </si>
  <si>
    <t>Chip Seal or Micro-Surfacing</t>
  </si>
  <si>
    <t>Granular Backfill Borrow/Embankment</t>
  </si>
  <si>
    <t>Cost Estimate Summary of Assumptions</t>
  </si>
  <si>
    <t>Lift</t>
  </si>
  <si>
    <t>Material Assumptions</t>
  </si>
  <si>
    <t># of Joints</t>
  </si>
  <si>
    <t>Chip Seal Emulsion</t>
  </si>
  <si>
    <t>Rotomilling</t>
  </si>
  <si>
    <t>OGSC Binder</t>
  </si>
  <si>
    <t>OGSC Tack Coat</t>
  </si>
  <si>
    <t>OGSC, BWC, &amp; SMA</t>
  </si>
  <si>
    <t>Recommend $0.91/Ton</t>
  </si>
  <si>
    <t>02737001*</t>
  </si>
  <si>
    <t>02737002*</t>
  </si>
  <si>
    <t>Asphalt Pavement Soft Spot Repair - Type A</t>
  </si>
  <si>
    <t>Asphalt Pavement Soft Spot Repair - Type B</t>
  </si>
  <si>
    <t>Project Assumptions/Risks</t>
  </si>
  <si>
    <t>Side Slope Area Triangle</t>
  </si>
  <si>
    <t>Prepared By:</t>
  </si>
  <si>
    <t>Proposed Project Scope:</t>
  </si>
  <si>
    <t>Median</t>
  </si>
  <si>
    <t>Edges to be Striped</t>
  </si>
  <si>
    <t>Pavement Marking Application Rates</t>
  </si>
  <si>
    <t>Median Striping</t>
  </si>
  <si>
    <t>Intersection</t>
  </si>
  <si>
    <t>Broken</t>
  </si>
  <si>
    <t>Solid</t>
  </si>
  <si>
    <t>ft/gal</t>
  </si>
  <si>
    <t>Inter-section Adjustment</t>
  </si>
  <si>
    <t>Striping Type</t>
  </si>
  <si>
    <t>Side slope length factor</t>
  </si>
  <si>
    <t>No. of Sides with  Wedge Pavement</t>
  </si>
  <si>
    <t>Pavement Message (Preformed Thermoplastic)</t>
  </si>
  <si>
    <t>Misc. Area Calculator</t>
  </si>
  <si>
    <t>Notes</t>
  </si>
  <si>
    <t>Misc. Volume Calculator</t>
  </si>
  <si>
    <t>Volume Location</t>
  </si>
  <si>
    <t>Area Location</t>
  </si>
  <si>
    <t>Total Volume</t>
  </si>
  <si>
    <t>Total Area</t>
  </si>
  <si>
    <t>Additional tables are included to help document calculations for future understanding and revising.</t>
  </si>
  <si>
    <t>Item Number</t>
  </si>
  <si>
    <t>Description</t>
  </si>
  <si>
    <t>000000003</t>
  </si>
  <si>
    <t>Group Stockpile</t>
  </si>
  <si>
    <t>00730000U</t>
  </si>
  <si>
    <t>Dispute Resolution Board</t>
  </si>
  <si>
    <t>00830001U</t>
  </si>
  <si>
    <t>Hour</t>
  </si>
  <si>
    <t>Equal Opportunity Training</t>
  </si>
  <si>
    <t>012820001</t>
  </si>
  <si>
    <t>Fuel Cost</t>
  </si>
  <si>
    <t>012820002</t>
  </si>
  <si>
    <t>Asphalt Cost</t>
  </si>
  <si>
    <t>012850010</t>
  </si>
  <si>
    <t>013150010</t>
  </si>
  <si>
    <t>015540005</t>
  </si>
  <si>
    <t>015580005</t>
  </si>
  <si>
    <t>Temporary Pavement Markings</t>
  </si>
  <si>
    <t>015710020</t>
  </si>
  <si>
    <t>cu yd</t>
  </si>
  <si>
    <t>Check Dam - 12 Inch Stone</t>
  </si>
  <si>
    <t>015710025</t>
  </si>
  <si>
    <t>Check Dam - 12 Inch Fiber Roll</t>
  </si>
  <si>
    <t>015710030</t>
  </si>
  <si>
    <t>015710040</t>
  </si>
  <si>
    <t>Slope Drain</t>
  </si>
  <si>
    <t>015710070</t>
  </si>
  <si>
    <t>Drop-Inlet Barrier (Silt Fence)</t>
  </si>
  <si>
    <t>015710075</t>
  </si>
  <si>
    <t>Drop-Inlet Barrier - 18 Inch Fiber Roll</t>
  </si>
  <si>
    <t>015710090</t>
  </si>
  <si>
    <t>Temporary Berm</t>
  </si>
  <si>
    <t>015710095</t>
  </si>
  <si>
    <t>Fiber Roll - 12 Inch</t>
  </si>
  <si>
    <t>015710100</t>
  </si>
  <si>
    <t>Gutter Inlet Barrier</t>
  </si>
  <si>
    <t>015710110</t>
  </si>
  <si>
    <t>Pipe-Inlet Barrier - 18 Inch Stone</t>
  </si>
  <si>
    <t>015710115</t>
  </si>
  <si>
    <t>Pipe-Inlet Barrier - 18 Inch Fiber Roll</t>
  </si>
  <si>
    <t>015710120</t>
  </si>
  <si>
    <t>Sediment Trap</t>
  </si>
  <si>
    <t>015710130</t>
  </si>
  <si>
    <t>sq yd</t>
  </si>
  <si>
    <t>Stabilized Construction Entrance</t>
  </si>
  <si>
    <t>015710140</t>
  </si>
  <si>
    <t>Straw Bale Barrier</t>
  </si>
  <si>
    <t>015710150</t>
  </si>
  <si>
    <t>Temporary Environmental Fence</t>
  </si>
  <si>
    <t>015710155</t>
  </si>
  <si>
    <t>Environmental Control Supervisor</t>
  </si>
  <si>
    <t>015720020</t>
  </si>
  <si>
    <t>Dust Control and Watering</t>
  </si>
  <si>
    <t>017210010</t>
  </si>
  <si>
    <t>Survey</t>
  </si>
  <si>
    <t>018910010</t>
  </si>
  <si>
    <t>Move Street Sign</t>
  </si>
  <si>
    <t>018910020</t>
  </si>
  <si>
    <t>Move Mailbox</t>
  </si>
  <si>
    <t>018910030</t>
  </si>
  <si>
    <t>Mailbox Assembly</t>
  </si>
  <si>
    <t>018920010</t>
  </si>
  <si>
    <t>Reconstruct Catch Basin</t>
  </si>
  <si>
    <t>018920020</t>
  </si>
  <si>
    <t>Reconstruct Cleanout Box</t>
  </si>
  <si>
    <t>018920030</t>
  </si>
  <si>
    <t>Reconstruct Meter Box</t>
  </si>
  <si>
    <t>018920040</t>
  </si>
  <si>
    <t>Reconstruct Valve Box</t>
  </si>
  <si>
    <t>018920050</t>
  </si>
  <si>
    <t>Reconstruct Manhole</t>
  </si>
  <si>
    <t>018920060</t>
  </si>
  <si>
    <t>Reconstruct Monument Box</t>
  </si>
  <si>
    <t>020560005</t>
  </si>
  <si>
    <t>020560010</t>
  </si>
  <si>
    <t>020560015</t>
  </si>
  <si>
    <t>020560020</t>
  </si>
  <si>
    <t>020560025</t>
  </si>
  <si>
    <t>020560055</t>
  </si>
  <si>
    <t>Free Draining Granular Backfill</t>
  </si>
  <si>
    <t>020560060</t>
  </si>
  <si>
    <t>Free Draining Granular Backfill (Plan Quantity)</t>
  </si>
  <si>
    <t>020560065</t>
  </si>
  <si>
    <t>Embankment for Bridge (Plan Quantity)</t>
  </si>
  <si>
    <t>020560070</t>
  </si>
  <si>
    <t>Embankment for Bridge</t>
  </si>
  <si>
    <t>020750010</t>
  </si>
  <si>
    <t>Geotextiles - Separation</t>
  </si>
  <si>
    <t>020750020</t>
  </si>
  <si>
    <t>Geotextiles - Erosion Control</t>
  </si>
  <si>
    <t>020750030</t>
  </si>
  <si>
    <t>Geotextiles - Drainage</t>
  </si>
  <si>
    <t>020750040</t>
  </si>
  <si>
    <t>Geotextiles - Weed Barrier</t>
  </si>
  <si>
    <t>020750050</t>
  </si>
  <si>
    <t>Geotextiles - Stabilization</t>
  </si>
  <si>
    <t>020770001</t>
  </si>
  <si>
    <t>Geogrid</t>
  </si>
  <si>
    <t>020780010</t>
  </si>
  <si>
    <t>Asphalt Fabric</t>
  </si>
  <si>
    <t>020820010</t>
  </si>
  <si>
    <t>Water Meter, Contractor Furnished</t>
  </si>
  <si>
    <t>020820020</t>
  </si>
  <si>
    <t>Relocate Water Meter</t>
  </si>
  <si>
    <t>022210015</t>
  </si>
  <si>
    <t>02221001D</t>
  </si>
  <si>
    <t>Parcel</t>
  </si>
  <si>
    <t>Remove Building, Basement, and Foundation - Parcel #______</t>
  </si>
  <si>
    <t>022210020</t>
  </si>
  <si>
    <t>Remove Box Culvert</t>
  </si>
  <si>
    <t>022210025</t>
  </si>
  <si>
    <t>Remove Manhole</t>
  </si>
  <si>
    <t>02221002D</t>
  </si>
  <si>
    <t>022210030</t>
  </si>
  <si>
    <t>Remove Catch Basin</t>
  </si>
  <si>
    <t>022210035</t>
  </si>
  <si>
    <t>Remove Diversion Box</t>
  </si>
  <si>
    <t>02221003D</t>
  </si>
  <si>
    <t>022210040</t>
  </si>
  <si>
    <t>Remove Cleanout Box</t>
  </si>
  <si>
    <t>022210045</t>
  </si>
  <si>
    <t>Remove Cattle Guard</t>
  </si>
  <si>
    <t>02221004D</t>
  </si>
  <si>
    <t>022210050</t>
  </si>
  <si>
    <t>Remove Tree</t>
  </si>
  <si>
    <t>022210055</t>
  </si>
  <si>
    <t>Remove Concrete Headwall</t>
  </si>
  <si>
    <t>022210056</t>
  </si>
  <si>
    <t>Remove Concrete Headwall 18 inch - 36 inch Pipe</t>
  </si>
  <si>
    <t>022210057</t>
  </si>
  <si>
    <t>Remove Concrete Headwall 37 inch - 60 inch Pipe</t>
  </si>
  <si>
    <t>022210058</t>
  </si>
  <si>
    <t>Remove Concrete Headwall 61 inch - 84 inch Pipe</t>
  </si>
  <si>
    <t>022210059</t>
  </si>
  <si>
    <t>Remove Concrete Headwall Greater than 85 inch Pipe</t>
  </si>
  <si>
    <t>02221005D</t>
  </si>
  <si>
    <t>022210060</t>
  </si>
  <si>
    <t>Remove Septic Tank</t>
  </si>
  <si>
    <t>022210065</t>
  </si>
  <si>
    <t>Remove Underground Tank</t>
  </si>
  <si>
    <t>02221006D</t>
  </si>
  <si>
    <t>022210070</t>
  </si>
  <si>
    <t>Remove Buried Fuel Tank</t>
  </si>
  <si>
    <t>022210075</t>
  </si>
  <si>
    <t>Remove Guardrail</t>
  </si>
  <si>
    <t>02221007D</t>
  </si>
  <si>
    <t>022210080</t>
  </si>
  <si>
    <t>022210085</t>
  </si>
  <si>
    <t>Remove Railroad Track</t>
  </si>
  <si>
    <t>02221008D</t>
  </si>
  <si>
    <t>022210090</t>
  </si>
  <si>
    <t>Remove Utility Pole</t>
  </si>
  <si>
    <t>022210095</t>
  </si>
  <si>
    <t>02221009D</t>
  </si>
  <si>
    <t>022210100</t>
  </si>
  <si>
    <t>Remove Culvert End Section</t>
  </si>
  <si>
    <t>022210106</t>
  </si>
  <si>
    <t>Remove Mailbox</t>
  </si>
  <si>
    <t>02221010D</t>
  </si>
  <si>
    <t>022210110</t>
  </si>
  <si>
    <t>Remove Concrete Sidewalk</t>
  </si>
  <si>
    <t>022210115</t>
  </si>
  <si>
    <t>Remove Concrete Driveway</t>
  </si>
  <si>
    <t>02221011D</t>
  </si>
  <si>
    <t>022210120</t>
  </si>
  <si>
    <t>Remove Concrete Curb</t>
  </si>
  <si>
    <t>022210125</t>
  </si>
  <si>
    <t>Remove Concrete Curb and Gutter</t>
  </si>
  <si>
    <t>022210127</t>
  </si>
  <si>
    <t>Remove Concrete Slope Protection</t>
  </si>
  <si>
    <t>02221012D</t>
  </si>
  <si>
    <t>022210130</t>
  </si>
  <si>
    <t>Remove Gutter</t>
  </si>
  <si>
    <t>022210135</t>
  </si>
  <si>
    <t>Remove Bituminous Curb</t>
  </si>
  <si>
    <t>02221013D</t>
  </si>
  <si>
    <t>022210140</t>
  </si>
  <si>
    <t>Remove Raised Island</t>
  </si>
  <si>
    <t>022210145</t>
  </si>
  <si>
    <t>02221014D</t>
  </si>
  <si>
    <t>022210150</t>
  </si>
  <si>
    <t>Remove Concrete Pavement</t>
  </si>
  <si>
    <t>022210155</t>
  </si>
  <si>
    <t>Obliterate Road</t>
  </si>
  <si>
    <t>02221015D</t>
  </si>
  <si>
    <t>022210160</t>
  </si>
  <si>
    <t>022210165</t>
  </si>
  <si>
    <t>Remove Asphalt Pavement</t>
  </si>
  <si>
    <t>02221016D</t>
  </si>
  <si>
    <t>022210170</t>
  </si>
  <si>
    <t>Remove Precast Concrete Barrier</t>
  </si>
  <si>
    <t>022210175</t>
  </si>
  <si>
    <t>Remove and Salvage Precast Concrete Barrier</t>
  </si>
  <si>
    <t>02221017D</t>
  </si>
  <si>
    <t>022210180</t>
  </si>
  <si>
    <t>Remove Cast-In-Place Concrete Barrier</t>
  </si>
  <si>
    <t>02221018D</t>
  </si>
  <si>
    <t>02221019D</t>
  </si>
  <si>
    <t>02221020D</t>
  </si>
  <si>
    <t>02221021D</t>
  </si>
  <si>
    <t>02221022D</t>
  </si>
  <si>
    <t>02221023D</t>
  </si>
  <si>
    <t>02221024D</t>
  </si>
  <si>
    <t>02221025D</t>
  </si>
  <si>
    <t>02221026D</t>
  </si>
  <si>
    <t>02221027D</t>
  </si>
  <si>
    <t>02221028D</t>
  </si>
  <si>
    <t>02221029D</t>
  </si>
  <si>
    <t>02221030D</t>
  </si>
  <si>
    <t>02221031D</t>
  </si>
  <si>
    <t>02221032D</t>
  </si>
  <si>
    <t>02221033D</t>
  </si>
  <si>
    <t>02221034D</t>
  </si>
  <si>
    <t>02221035D</t>
  </si>
  <si>
    <t>022250010</t>
  </si>
  <si>
    <t>Asphalt Surfacing Removal (Structures)</t>
  </si>
  <si>
    <t>022310010</t>
  </si>
  <si>
    <t>022310020</t>
  </si>
  <si>
    <t>Clearing and Grubbing (Plan Quantity)</t>
  </si>
  <si>
    <t>023160020</t>
  </si>
  <si>
    <t>023180010</t>
  </si>
  <si>
    <t>Small Ditch Excavation (Plan Quantity)</t>
  </si>
  <si>
    <t>023180020</t>
  </si>
  <si>
    <t>Surface Ditch</t>
  </si>
  <si>
    <t>023720010</t>
  </si>
  <si>
    <t>Wire Enclosed Riprap</t>
  </si>
  <si>
    <t>023730010</t>
  </si>
  <si>
    <t>023730020</t>
  </si>
  <si>
    <t>Hand-Placed Riprap</t>
  </si>
  <si>
    <t>023730030</t>
  </si>
  <si>
    <t>Compacted Riprap</t>
  </si>
  <si>
    <t>023730050</t>
  </si>
  <si>
    <t>Plated Riprap</t>
  </si>
  <si>
    <t>023740010</t>
  </si>
  <si>
    <t>Grouted Riprap</t>
  </si>
  <si>
    <t>023760010</t>
  </si>
  <si>
    <t>Steep-Slope Erosion Control</t>
  </si>
  <si>
    <t>023760015</t>
  </si>
  <si>
    <t>023760020</t>
  </si>
  <si>
    <t>Flexible Channel Liner</t>
  </si>
  <si>
    <t>024550010</t>
  </si>
  <si>
    <t>Pile Driving Equipment</t>
  </si>
  <si>
    <t>024550020</t>
  </si>
  <si>
    <t>Driven Piles  12 inch</t>
  </si>
  <si>
    <t>02455003D</t>
  </si>
  <si>
    <t>Driven Piles  ______inch</t>
  </si>
  <si>
    <t>02455004D</t>
  </si>
  <si>
    <t>Driven Piles  HP _____ X _____</t>
  </si>
  <si>
    <t>02466001D</t>
  </si>
  <si>
    <t>Drilled Shafts,  ________ inch</t>
  </si>
  <si>
    <t>024660020</t>
  </si>
  <si>
    <t>Drilled Shafts, 12 inch</t>
  </si>
  <si>
    <t>024660030</t>
  </si>
  <si>
    <t>Drilled Shafts, 24 inch</t>
  </si>
  <si>
    <t>024660040</t>
  </si>
  <si>
    <t>Drilled Shafts, 30 inch</t>
  </si>
  <si>
    <t>024660050</t>
  </si>
  <si>
    <t>Drilled Shafts, 36 inch</t>
  </si>
  <si>
    <t>024660060</t>
  </si>
  <si>
    <t>Drilled Shafts, 42 inch</t>
  </si>
  <si>
    <t>024660070</t>
  </si>
  <si>
    <t>Drilled Shafts, 48 inch</t>
  </si>
  <si>
    <t>024660080</t>
  </si>
  <si>
    <t>Drilled Shafts, 54 inch</t>
  </si>
  <si>
    <t>024660090</t>
  </si>
  <si>
    <t>Drilled Shafts, 72 inch</t>
  </si>
  <si>
    <t>026101018</t>
  </si>
  <si>
    <t>18 Inch Irrigation/Storm Drain, Class A, Corrugated</t>
  </si>
  <si>
    <t>026101020</t>
  </si>
  <si>
    <t>24 Inch Irrigation/Storm Drain, Class A, Corrugated</t>
  </si>
  <si>
    <t>026101022</t>
  </si>
  <si>
    <t>30 Inch Irrigation/Storm Drain, Class A, Corrugated</t>
  </si>
  <si>
    <t>026101024</t>
  </si>
  <si>
    <t>36 Inch Irrigation/Storm Drain, Class A, Corrugated</t>
  </si>
  <si>
    <t>026101026</t>
  </si>
  <si>
    <t>42 Inch Irrigation/Storm Drain, Class A, Corrugated</t>
  </si>
  <si>
    <t>026101028</t>
  </si>
  <si>
    <t>48 Inch Irrigation/Storm Drain, Class A, Corrugated</t>
  </si>
  <si>
    <t>026101030</t>
  </si>
  <si>
    <t>60 Inch Irrigation/Storm Drain, Class A, Corrugated</t>
  </si>
  <si>
    <t>026101032</t>
  </si>
  <si>
    <t>18 Inch, Culvert, Class B, Smooth</t>
  </si>
  <si>
    <t>026101034</t>
  </si>
  <si>
    <t>24 Inch, Culvert, Class B, Smooth</t>
  </si>
  <si>
    <t>026101036</t>
  </si>
  <si>
    <t>30 Inch, Culvert, Class B, Smooth</t>
  </si>
  <si>
    <t>026101038</t>
  </si>
  <si>
    <t>36 Inch, Culvert, Class B, Smooth</t>
  </si>
  <si>
    <t>026101040</t>
  </si>
  <si>
    <t>42 Inch, Culvert, Class B, Smooth</t>
  </si>
  <si>
    <t>026101042</t>
  </si>
  <si>
    <t>48 Inch, Culvert, Class B, Smooth</t>
  </si>
  <si>
    <t>026101044</t>
  </si>
  <si>
    <t>60 Inch, Culvert, Class B, Smooth</t>
  </si>
  <si>
    <t>026101046</t>
  </si>
  <si>
    <t>18 Inch Culvert, Class B, Corrugated</t>
  </si>
  <si>
    <t>026101048</t>
  </si>
  <si>
    <t>24 Inch Culvert, Class B, Corrugated</t>
  </si>
  <si>
    <t>026101050</t>
  </si>
  <si>
    <t>30 Inch Culvert, Class B, Corrugated</t>
  </si>
  <si>
    <t>026101052</t>
  </si>
  <si>
    <t>36 Inch Culvert, Class B, Corrugated</t>
  </si>
  <si>
    <t>026101054</t>
  </si>
  <si>
    <t>42 Inch Culvert, Class B, Corrugated</t>
  </si>
  <si>
    <t>026101056</t>
  </si>
  <si>
    <t>48 Inch Culvert, Class B, Corrugated</t>
  </si>
  <si>
    <t>026101058</t>
  </si>
  <si>
    <t>60 Inch Culvert, Class B, Corrugated</t>
  </si>
  <si>
    <t>026101081</t>
  </si>
  <si>
    <t>18 Inch Culvert, Class C, smooth</t>
  </si>
  <si>
    <t>026101088</t>
  </si>
  <si>
    <t>24 Inch Culvert, Class C, smooth</t>
  </si>
  <si>
    <t>026101092</t>
  </si>
  <si>
    <t>30 Inch Culvert, Class C, smooth</t>
  </si>
  <si>
    <t>026101094</t>
  </si>
  <si>
    <t>36 Inch Culvert, Class C, smooth</t>
  </si>
  <si>
    <t>026101096</t>
  </si>
  <si>
    <t>42 Inch Culvert, Class C, smooth</t>
  </si>
  <si>
    <t>026101098</t>
  </si>
  <si>
    <t>48 Inch Culvert, Class C, smooth</t>
  </si>
  <si>
    <t>026101100</t>
  </si>
  <si>
    <t>60 Inch Culvert, Class C, smooth</t>
  </si>
  <si>
    <t>026101172</t>
  </si>
  <si>
    <t>Structural Plate Pipe</t>
  </si>
  <si>
    <t>026101174</t>
  </si>
  <si>
    <t>Structural Pipe Arch</t>
  </si>
  <si>
    <t>026101180</t>
  </si>
  <si>
    <t>18 Inch Culvert, Metal Pipe, Class B, Corrugated</t>
  </si>
  <si>
    <t>026101181</t>
  </si>
  <si>
    <t>24 Inch Culvert, Metal Pipe, Class B, Corrugated</t>
  </si>
  <si>
    <t>026101182</t>
  </si>
  <si>
    <t>30 Inch Culvert, Metal Pipe, Class B, Corrugated</t>
  </si>
  <si>
    <t>026101183</t>
  </si>
  <si>
    <t>36 Inch Culvert, Metal Pipe, Class B, Corrugated</t>
  </si>
  <si>
    <t>026101184</t>
  </si>
  <si>
    <t>42 Inch Culvert, Metal Pipe, Class B, Corrugated</t>
  </si>
  <si>
    <t>026101185</t>
  </si>
  <si>
    <t>48 Inch Culvert, Metal Pipe, Class B, Corrugated</t>
  </si>
  <si>
    <t>026101186</t>
  </si>
  <si>
    <t>60 Inch Culvert, Metal Pipe, Class B, Corrugated</t>
  </si>
  <si>
    <t>026101187</t>
  </si>
  <si>
    <t>18 inch Culvert, Metal Pipe, Class C, Corrugated</t>
  </si>
  <si>
    <t>026101188</t>
  </si>
  <si>
    <t>24 Inch Culvert, Metal Pipe, Class C, Corrugated</t>
  </si>
  <si>
    <t>026101189</t>
  </si>
  <si>
    <t>30 Inch Culvert, Metal Pipe, Class C, Corrugated</t>
  </si>
  <si>
    <t>026101190</t>
  </si>
  <si>
    <t>36 Inch Culvert, Metal Pipe, Class C, Corrugated</t>
  </si>
  <si>
    <t>026101191</t>
  </si>
  <si>
    <t>42 Inch Culvert, Metal Pipe, Class C, Corrugated</t>
  </si>
  <si>
    <t>026101192</t>
  </si>
  <si>
    <t>48 Inch Culvert, Metal Pipe, Class C, Corrugated</t>
  </si>
  <si>
    <t>026101193</t>
  </si>
  <si>
    <t>60 Inch Culvert, Metal Pipe, Class C, Corrugated</t>
  </si>
  <si>
    <t>026101198</t>
  </si>
  <si>
    <t>18 Inch Culvert, Non-reinforced Concrete, Class B</t>
  </si>
  <si>
    <t>026101199</t>
  </si>
  <si>
    <t>24 Inch Culvert, Non-reinforced Concrete, Class B</t>
  </si>
  <si>
    <t>026101200</t>
  </si>
  <si>
    <t>30 Inch Culvert, Non-reinforced Concrete, Class B</t>
  </si>
  <si>
    <t>026101201</t>
  </si>
  <si>
    <t>36 Inch Culvert, Non-reinforced Concrete, Class B</t>
  </si>
  <si>
    <t>026101202</t>
  </si>
  <si>
    <t>18 Inch Culvert, Non-reinforced Concrete, Class C</t>
  </si>
  <si>
    <t>026101203</t>
  </si>
  <si>
    <t>24 Inch Culvert, Non-reinforced Concrete, Class C</t>
  </si>
  <si>
    <t>026101204</t>
  </si>
  <si>
    <t>30 Inch Culvert, Non-reinforced Concrete, Class C</t>
  </si>
  <si>
    <t>026101205</t>
  </si>
  <si>
    <t>36 Inch Culvert, Non-reinforced Concrete, Class C</t>
  </si>
  <si>
    <t>026101230</t>
  </si>
  <si>
    <t>18 Inch Culvert, Reinforced Concrete, Class B</t>
  </si>
  <si>
    <t>026101232</t>
  </si>
  <si>
    <t>24 Inch Culvert, Reinforced Concrete, Class B</t>
  </si>
  <si>
    <t>026101234</t>
  </si>
  <si>
    <t>30 Inch Culvert, Reinforced Concrete, Class B</t>
  </si>
  <si>
    <t>026101236</t>
  </si>
  <si>
    <t>36 Inch Culvert, Reinforced Concrete, Class B</t>
  </si>
  <si>
    <t>026101238</t>
  </si>
  <si>
    <t>42 Inch Culvert, Reinforced Concrete, Class B</t>
  </si>
  <si>
    <t>026101240</t>
  </si>
  <si>
    <t>48 Inch Culvert, Reinforced Concrete, Class B</t>
  </si>
  <si>
    <t>026101242</t>
  </si>
  <si>
    <t>60 Inch Culvert, Reinforced Concrete, Class B</t>
  </si>
  <si>
    <t>026101244</t>
  </si>
  <si>
    <t>12 Inch Culvert, Reinforced Concrete, Class C</t>
  </si>
  <si>
    <t>026101250</t>
  </si>
  <si>
    <t>18 Inch Culvert, Reinforced Concrete, Class C</t>
  </si>
  <si>
    <t>026101252</t>
  </si>
  <si>
    <t>24 Inch Culvert, Reinforced Concrete, Class C</t>
  </si>
  <si>
    <t>026101254</t>
  </si>
  <si>
    <t>30 Inch Culvert, Reinforced Concrete, Class C</t>
  </si>
  <si>
    <t>026101256</t>
  </si>
  <si>
    <t>36 Inch Culvert, Reinforced Concrete, Class C</t>
  </si>
  <si>
    <t>026101258</t>
  </si>
  <si>
    <t>42 Inch Culvert, Reinforced Concrete, Class C</t>
  </si>
  <si>
    <t>026101260</t>
  </si>
  <si>
    <t>48 Inch Culvert, Reinforced Concrete, Class C</t>
  </si>
  <si>
    <t>026101262</t>
  </si>
  <si>
    <t>60 Inch Culvert, Reinforced Concrete, Class C</t>
  </si>
  <si>
    <t>026101300</t>
  </si>
  <si>
    <t>14 x 24 Inch - Culvert, Concrete Elliptical Pipe, Class C</t>
  </si>
  <si>
    <t>026101302</t>
  </si>
  <si>
    <t>19 x 30 Inch - Culvert, Concrete Elliptical Pipe, Class C</t>
  </si>
  <si>
    <t>026101304</t>
  </si>
  <si>
    <t>24 x 38 Inch - Culvert, Concrete Elliptical Pipe, Class C</t>
  </si>
  <si>
    <t>026101306</t>
  </si>
  <si>
    <t>29 x 45 Inch - Culvert, Concrete Elliptical Pipe, Class C</t>
  </si>
  <si>
    <t>026101308</t>
  </si>
  <si>
    <t>34 x 53 Inch - Culvert, Concrete Elliptical Pipe, Class C</t>
  </si>
  <si>
    <t>026101310</t>
  </si>
  <si>
    <t>38 x 60 Inch - Culvert, Concrete Elliptical Pipe, Class C</t>
  </si>
  <si>
    <t>026101320</t>
  </si>
  <si>
    <t>18 Inch Culvert, HDPE, Class C, smooth</t>
  </si>
  <si>
    <t>026101322</t>
  </si>
  <si>
    <t>24 Inch Culvert, HDPE, Class C, smooth</t>
  </si>
  <si>
    <t>026101324</t>
  </si>
  <si>
    <t>30 Inch Culvert, HDPE, Class C, smooth</t>
  </si>
  <si>
    <t>026101326</t>
  </si>
  <si>
    <t>36 Inch Culvert, HDPE, Class C, smooth</t>
  </si>
  <si>
    <t>026101328</t>
  </si>
  <si>
    <t>42 Inch Culvert, HDPE, Class C, smooth</t>
  </si>
  <si>
    <t>026101330</t>
  </si>
  <si>
    <t>48 Inch Culvert, HDPE, Class C, smooth</t>
  </si>
  <si>
    <t>026101332</t>
  </si>
  <si>
    <t>60 Inch Culvert, HDPE, Class C, smooth</t>
  </si>
  <si>
    <t>026101340</t>
  </si>
  <si>
    <t>18 Inch Culvert, PVC, Class C, smooth</t>
  </si>
  <si>
    <t>026101342</t>
  </si>
  <si>
    <t>24 Inch Culvert, PVC, Class C, smooth</t>
  </si>
  <si>
    <t>026101344</t>
  </si>
  <si>
    <t>30 Inch Culvert, PVC, Class C, smooth</t>
  </si>
  <si>
    <t>026101346</t>
  </si>
  <si>
    <t>36 Inch Culvert, PVC, Class C, smooth</t>
  </si>
  <si>
    <t>026101384</t>
  </si>
  <si>
    <t>15 Inch Irrigation/Storm Drain, Class C, smooth</t>
  </si>
  <si>
    <t>026101386</t>
  </si>
  <si>
    <t>026101388</t>
  </si>
  <si>
    <t>026101390</t>
  </si>
  <si>
    <t>30 Inch Irrigation/Storm Drain, Class C, smooth</t>
  </si>
  <si>
    <t>026101391</t>
  </si>
  <si>
    <t>026101392</t>
  </si>
  <si>
    <t>42 Inch Irrigation/Storm Drain, Class C, smooth</t>
  </si>
  <si>
    <t>026101394</t>
  </si>
  <si>
    <t>48 Inch Irrigation/Storm Drain, Class C, smooth</t>
  </si>
  <si>
    <t>026101396</t>
  </si>
  <si>
    <t>60 Inch Irrigation/Storm Drain, Class C, smooth</t>
  </si>
  <si>
    <t>026101430</t>
  </si>
  <si>
    <t>15 Inch - Metal Pipe, Irrigation/Storm Drain, Class C, smooth</t>
  </si>
  <si>
    <t>026101432</t>
  </si>
  <si>
    <t>18 Inch - Metal Pipe, Irrigation/Storm Drain, Class C, smooth</t>
  </si>
  <si>
    <t>026101434</t>
  </si>
  <si>
    <t>24 Inch - Metal Pipe, Irrigation/Storm Drain, Class C, smooth</t>
  </si>
  <si>
    <t>026101436</t>
  </si>
  <si>
    <t>30 Inch - Metal Pipe, Irrigation/Storm Drain, Class C, smooth</t>
  </si>
  <si>
    <t>026101440</t>
  </si>
  <si>
    <t>36 Inch - Metal Pipe, Irrigation/Storm Drain, Class C, smooth</t>
  </si>
  <si>
    <t>026101442</t>
  </si>
  <si>
    <t>42 Inch - Metal Pipe, Irrigation/Storm Drain, Class C, smooth</t>
  </si>
  <si>
    <t>026101444</t>
  </si>
  <si>
    <t>48 Inch - Metal Pipe, Irrigation/Storm Drain, Class C, smooth</t>
  </si>
  <si>
    <t>026101446</t>
  </si>
  <si>
    <t>60 Inch - Metal Pipe, Irrigation/Storm Drain, Class C, smooth</t>
  </si>
  <si>
    <t>026101464</t>
  </si>
  <si>
    <t>15 Inch - Concrete Pipe,  Irrigation/Storm Drain, Class B</t>
  </si>
  <si>
    <t>026101466</t>
  </si>
  <si>
    <t>18 Inch - Concrete Pipe,  Irrigation/Storm Drain, Class B</t>
  </si>
  <si>
    <t>026101468</t>
  </si>
  <si>
    <t>24 Inch - Concrete Pipe,  Irrigation/Storm Drain, Class B</t>
  </si>
  <si>
    <t>026101470</t>
  </si>
  <si>
    <t>30 Inch - Concrete Pipe,  Irrigation/Storm Drain, Class B</t>
  </si>
  <si>
    <t>026101472</t>
  </si>
  <si>
    <t>36 Inch - Concrete Pipe,  Irrigation/Storm Drain, Class B</t>
  </si>
  <si>
    <t>026101474</t>
  </si>
  <si>
    <t>42 Inch - Concrete Pipe,  Irrigation/Storm Drain, Class B</t>
  </si>
  <si>
    <t>026101476</t>
  </si>
  <si>
    <t>48 Inch - Concrete Pipe,  Irrigation/Storm Drain, Class B</t>
  </si>
  <si>
    <t>026101478</t>
  </si>
  <si>
    <t>60 Inch - Concrete Pipe,  Irrigation/Storm Drain, Class B</t>
  </si>
  <si>
    <t>026101480</t>
  </si>
  <si>
    <t>15 Inch - Concrete Pipe,  Irrigation/Storm Drain, Class C</t>
  </si>
  <si>
    <t>026101482</t>
  </si>
  <si>
    <t>18 Inch - Concrete Pipe,  Irrigation/Storm Drain, Class C</t>
  </si>
  <si>
    <t>026101484</t>
  </si>
  <si>
    <t>24 Inch - Concrete Pipe,  Irrigation/Storm Drain, Class C</t>
  </si>
  <si>
    <t>026101486</t>
  </si>
  <si>
    <t>30 Inch - Concrete Pipe,  Irrigation/Storm Drain, Class C</t>
  </si>
  <si>
    <t>026101488</t>
  </si>
  <si>
    <t>36 Inch - Concrete Pipe,  Irrigation/Storm Drain, Class C</t>
  </si>
  <si>
    <t>026101490</t>
  </si>
  <si>
    <t>42 Inch - Concrete Pipe, Irrigation/Storm Drain, Class C</t>
  </si>
  <si>
    <t>026101492</t>
  </si>
  <si>
    <t>48 Inch - Concrete Pipe, Irrigation/Storm Drain, Class C</t>
  </si>
  <si>
    <t>026101494</t>
  </si>
  <si>
    <t>60 Inch - Concrete Pipe, Irrigation/Storm Drain, Class C</t>
  </si>
  <si>
    <t>026101496</t>
  </si>
  <si>
    <t>14 x 24 Inch - Concrete Elliptical Pipe, Irrigation/Storm Drain Class C</t>
  </si>
  <si>
    <t>026101498</t>
  </si>
  <si>
    <t>19 x 30 Inch - Concrete Elliptical Pipe, Irrigation/Storm Drain Class C</t>
  </si>
  <si>
    <t>026101500</t>
  </si>
  <si>
    <t>24 x 38 Inch - Concrete Elliptical Pipe, Irrigation/Storm Drain Class C</t>
  </si>
  <si>
    <t>026101502</t>
  </si>
  <si>
    <t>29 x 45 Inch - Concrete Elliptical Pipe, Irrigation/Storm Drain Class C</t>
  </si>
  <si>
    <t>026101504</t>
  </si>
  <si>
    <t>34 x 53 Inch - Concrete Elliptical Pipe, Irrigation/Storm Drain Class C</t>
  </si>
  <si>
    <t>026101506</t>
  </si>
  <si>
    <t>38 x 60 Inch - Concrete Elliptical Pipe, Irrigation/Storm Drain Class C</t>
  </si>
  <si>
    <t>026101508</t>
  </si>
  <si>
    <t>15 Inch - HDPE, Irrigation/Storm Drain, Class C</t>
  </si>
  <si>
    <t>026101510</t>
  </si>
  <si>
    <t>18 Inch - HDPE, Irrigation/Storm Drain, Class C</t>
  </si>
  <si>
    <t>026101512</t>
  </si>
  <si>
    <t>24 Inch - HDPE, Irrigation/Storm Drain, Class C</t>
  </si>
  <si>
    <t>026101514</t>
  </si>
  <si>
    <t>30 Inch - HDPE, Irrigation/Storm Drain, Class C</t>
  </si>
  <si>
    <t>026101516</t>
  </si>
  <si>
    <t>36 Inch - HDPE, Irrigation/Storm Drain, Class C</t>
  </si>
  <si>
    <t>026101518</t>
  </si>
  <si>
    <t>42 Inch - HDPE, Irrigation/Storm Drain, Class C</t>
  </si>
  <si>
    <t>026101520</t>
  </si>
  <si>
    <t>48 Inch - HDPE, Irrigation/Storm Drain, Class C</t>
  </si>
  <si>
    <t>026101522</t>
  </si>
  <si>
    <t>60 Inch - HDPE, Irrigation/Storm Drain, Class C</t>
  </si>
  <si>
    <t>026101524</t>
  </si>
  <si>
    <t>15 Inch PVC, Irrigation/Storm Drain, Class C, smooth</t>
  </si>
  <si>
    <t>026101526</t>
  </si>
  <si>
    <t>18 Inch PVC, Irrigation/Storm Drain, Class C, smooth</t>
  </si>
  <si>
    <t>026101528</t>
  </si>
  <si>
    <t>24 Inch PVC, Irrigation/Storm Drain, Class C, smooth</t>
  </si>
  <si>
    <t>026101530</t>
  </si>
  <si>
    <t>30 Inch PVC, Irrigation/Storm Drain, Class C, smooth</t>
  </si>
  <si>
    <t>026101532</t>
  </si>
  <si>
    <t>36 Inch PVC, Irrigation/Storm Drain, Class C, smooth</t>
  </si>
  <si>
    <t>026101534</t>
  </si>
  <si>
    <t>12 Inch - Deck Drain/Edge-Drain Pipe, Class C</t>
  </si>
  <si>
    <t>026101536</t>
  </si>
  <si>
    <t>18 Inch - Deck Drain/Edge-Drain Pipe, Class C</t>
  </si>
  <si>
    <t>026101538</t>
  </si>
  <si>
    <t>60 Inch - Structural Plate Pipe</t>
  </si>
  <si>
    <t>026101540</t>
  </si>
  <si>
    <t>72 Inch - Structural Plate Pipe</t>
  </si>
  <si>
    <t>026101542</t>
  </si>
  <si>
    <t>78 Inch - Structural Plate Pipe</t>
  </si>
  <si>
    <t>026101544</t>
  </si>
  <si>
    <t>84 Inch - Structural Plate Pipe</t>
  </si>
  <si>
    <t>026101546</t>
  </si>
  <si>
    <t>90 Inch - Structural Plate Pipe</t>
  </si>
  <si>
    <t>026101548</t>
  </si>
  <si>
    <t>17 x 13 Corrugated Steel Pipe Arch</t>
  </si>
  <si>
    <t>026101550</t>
  </si>
  <si>
    <t>21 x 15 Corrugated Steel Pipe Arch - 2 2/3 x 1/2 inch Corrugations</t>
  </si>
  <si>
    <t>026101552</t>
  </si>
  <si>
    <t>24 x 18 Corrugated Steel Pipe Arch - 2 2/3 x 1/2 inch Corrugations</t>
  </si>
  <si>
    <t>026101554</t>
  </si>
  <si>
    <t>28 x 20 Corrugated Steel Pipe Arch - 2 2/3 x 1/2 inch Corrugations</t>
  </si>
  <si>
    <t>026101556</t>
  </si>
  <si>
    <t>42 x 29 Corrugated Steel Pipe Arch - 2 2/3 x 1/2 inch Corrugations</t>
  </si>
  <si>
    <t>026101558</t>
  </si>
  <si>
    <t>49 x 33 Corrugated Steel Pipe Arch - 2 2/3 x 1/2 inch Corrugations</t>
  </si>
  <si>
    <t>026101560</t>
  </si>
  <si>
    <t>57 x 38 Corrugated Steel Pipe Arch - 2 2/3 x 1/2 inch Corrugations</t>
  </si>
  <si>
    <t>026101562</t>
  </si>
  <si>
    <t>64 x 43 Corrugated Steel Pipe Arch - 2 2/3 x 1/2 inch Corrugations</t>
  </si>
  <si>
    <t>026101564</t>
  </si>
  <si>
    <t>71 x 47 Corrugated Steel Pipe Arch - 2 2/3 x 1/2 inch Corrugations</t>
  </si>
  <si>
    <t>026101566</t>
  </si>
  <si>
    <t>53 x 41 Corrugated Steel Pipe Arch - 3 x 1 inch Corrugations</t>
  </si>
  <si>
    <t>026101568</t>
  </si>
  <si>
    <t>60 x 46 Corrugated Steel Pipe - Arch 3 x 1 inch Corrugations</t>
  </si>
  <si>
    <t>026101570</t>
  </si>
  <si>
    <t>66 x 41 Corrugated Steel Pipe - Arch 3 x 1 inch Corrugations</t>
  </si>
  <si>
    <t>026101572</t>
  </si>
  <si>
    <t>77 x 55 Corrugated Steel Pipe - Arch 3 x 1 inch Corrugations</t>
  </si>
  <si>
    <t>026101574</t>
  </si>
  <si>
    <t>81 x 59 Corrugated Steel Pipe - Arch 3 x 1 inch Corrugations</t>
  </si>
  <si>
    <t>026101576</t>
  </si>
  <si>
    <t>87 x 63 Corrugated Steel Pipe - Arch 3 x 1 inch Corrugations</t>
  </si>
  <si>
    <t>026101580</t>
  </si>
  <si>
    <t>15 Inch - Reinforced Concrete Pipe, Irrigation/Storm Drain, Class B</t>
  </si>
  <si>
    <t>026101582</t>
  </si>
  <si>
    <t>18 Inch - Reinforced Concrete Pipe, Irrigation/Storm Drain, Class B</t>
  </si>
  <si>
    <t>026101584</t>
  </si>
  <si>
    <t>24 Inch - Reinforced Concrete Pipe, Irrigation/Storm Drain, Class B</t>
  </si>
  <si>
    <t>026101586</t>
  </si>
  <si>
    <t>30 Inch - Reinforced Concrete Pipe, Irrigation/Storm Drain, Class B</t>
  </si>
  <si>
    <t>026101588</t>
  </si>
  <si>
    <t>36 Inch - Reinforced Concrete Pipe, Irrigation/Storm Drain, Class B</t>
  </si>
  <si>
    <t>026101600</t>
  </si>
  <si>
    <t>42 Inch - Reinforced Concrete Pipe, Irrigation/Storm Drain, Class B</t>
  </si>
  <si>
    <t>026101610</t>
  </si>
  <si>
    <t>48 Inch - Reinforced Concrete Pipe, Irrigation/Storm Drain, Class B</t>
  </si>
  <si>
    <t>026101612</t>
  </si>
  <si>
    <t>60 Inch - Reinforced Concrete Pipe, Irrigation/Storm Drain, Class B</t>
  </si>
  <si>
    <t>026101614</t>
  </si>
  <si>
    <t>15 Inch - Reinforced Concrete Pipe, Irrigation/Storm Drain, Class C</t>
  </si>
  <si>
    <t>026101616</t>
  </si>
  <si>
    <t>18 Inch - Reinforced Concrete Pipe, Irrigation/Storm Drain, Class C</t>
  </si>
  <si>
    <t>026101618</t>
  </si>
  <si>
    <t>24 Inch - Reinforced Concrete Pipe, Irrigation/Storm Drain, Class C</t>
  </si>
  <si>
    <t>026101620</t>
  </si>
  <si>
    <t>30 Inch - Reinforced Concrete Pipe, Irrigation/Storm Drain, Class C</t>
  </si>
  <si>
    <t>026101622</t>
  </si>
  <si>
    <t>36 Inch - Reinforced Concrete Pipe, Irrigation/Storm Drain, Class C</t>
  </si>
  <si>
    <t>026101624</t>
  </si>
  <si>
    <t>42 Inch - Reinforced Concrete Pipe, Irrigation/Storm Drain, Class C</t>
  </si>
  <si>
    <t>026101626</t>
  </si>
  <si>
    <t>48 Inch - Reinforced Concrete Pipe, Irrigation/Storm Drain, Class C</t>
  </si>
  <si>
    <t>026101628</t>
  </si>
  <si>
    <t>60 Inch - Reinforced Concrete Pipe, Irrigation/Storm Drain, Class C</t>
  </si>
  <si>
    <t>026110010</t>
  </si>
  <si>
    <t>Hand-slide Gate 12 inch</t>
  </si>
  <si>
    <t>026110015</t>
  </si>
  <si>
    <t>Hand-slide Gate 18 inch</t>
  </si>
  <si>
    <t>026110020</t>
  </si>
  <si>
    <t>Hand-slide Gate 24 inch</t>
  </si>
  <si>
    <t>026110025</t>
  </si>
  <si>
    <t>Hand-slide Gate 30 inch</t>
  </si>
  <si>
    <t>026110030</t>
  </si>
  <si>
    <t>Hand-slide Gate 36 inch</t>
  </si>
  <si>
    <t>026110035</t>
  </si>
  <si>
    <t>Hand-slide Gate 42 inch</t>
  </si>
  <si>
    <t>026110040</t>
  </si>
  <si>
    <t>Hand-slide Gate 48 inch</t>
  </si>
  <si>
    <t>026110045</t>
  </si>
  <si>
    <t>Screw Gate and Frame 12 inch</t>
  </si>
  <si>
    <t>02611004D</t>
  </si>
  <si>
    <t>Hand - Slide Gate _____ Inch</t>
  </si>
  <si>
    <t>026110050</t>
  </si>
  <si>
    <t>Screw Gate and Frame 18 inch</t>
  </si>
  <si>
    <t>026110055</t>
  </si>
  <si>
    <t>Screw Gate and Frame 24 inch</t>
  </si>
  <si>
    <t>026110060</t>
  </si>
  <si>
    <t>Screw Gate and Frame 30 inch</t>
  </si>
  <si>
    <t>026110065</t>
  </si>
  <si>
    <t>Screw Gate and Frame 36 inch</t>
  </si>
  <si>
    <t>026110070</t>
  </si>
  <si>
    <t>Screw Gate and Frame 42 inch</t>
  </si>
  <si>
    <t>026110075</t>
  </si>
  <si>
    <t>Screw Gate and Frame 48 inch</t>
  </si>
  <si>
    <t>02611008D</t>
  </si>
  <si>
    <t>Screw Gate and Frame ______ Inch</t>
  </si>
  <si>
    <t>02613001D</t>
  </si>
  <si>
    <t>Culvert End Section ______ Inch</t>
  </si>
  <si>
    <t>026130020</t>
  </si>
  <si>
    <t>Culvert End Section 12 inch</t>
  </si>
  <si>
    <t>026130030</t>
  </si>
  <si>
    <t>Culvert End Section 18 inch</t>
  </si>
  <si>
    <t>026130040</t>
  </si>
  <si>
    <t>Culvert End Section 24 inch</t>
  </si>
  <si>
    <t>026130050</t>
  </si>
  <si>
    <t>Culvert End Section 30 inch</t>
  </si>
  <si>
    <t>026130060</t>
  </si>
  <si>
    <t>Culvert End Section 36 inch</t>
  </si>
  <si>
    <t>026130070</t>
  </si>
  <si>
    <t>Culvert End Section 42 inch</t>
  </si>
  <si>
    <t>026130080</t>
  </si>
  <si>
    <t>Culvert End Section 48 inch</t>
  </si>
  <si>
    <t>02613010D</t>
  </si>
  <si>
    <t>Safety Slope End Section for Circular Pipe __________inch</t>
  </si>
  <si>
    <t>02613011D</t>
  </si>
  <si>
    <t>Safety Slope End Section for Arched Pipe __________inch</t>
  </si>
  <si>
    <t>026130120</t>
  </si>
  <si>
    <t>Eliptical Concrete Culvert End Section 19 x 30 Inch</t>
  </si>
  <si>
    <t>026130125</t>
  </si>
  <si>
    <t>Eliptical Concrete Culvert End Section 24 x 38 Inch</t>
  </si>
  <si>
    <t>026130130</t>
  </si>
  <si>
    <t>Eliptical Concrete Culvert End Section 29 x 45 Inch</t>
  </si>
  <si>
    <t>026130135</t>
  </si>
  <si>
    <t>Eliptical Concrete Culvert End Section 34 x 53 Inch</t>
  </si>
  <si>
    <t>026130140</t>
  </si>
  <si>
    <t>Eliptical Concrete Culvert End Section 38 x 60 Inch</t>
  </si>
  <si>
    <t>026130145</t>
  </si>
  <si>
    <t>Eliptical Concrete Culvert End Section 43 x 68 Inch</t>
  </si>
  <si>
    <t>026130150</t>
  </si>
  <si>
    <t>Eliptical Concrete Culvert End Section 48 x 76 Inch</t>
  </si>
  <si>
    <t>026140010</t>
  </si>
  <si>
    <t>Salvage Pipe Culvert</t>
  </si>
  <si>
    <t>026140020</t>
  </si>
  <si>
    <t>Salvage and Relay Pipe Culvert</t>
  </si>
  <si>
    <t>026140030</t>
  </si>
  <si>
    <t>Salvage Culvert End Section</t>
  </si>
  <si>
    <t>026140040</t>
  </si>
  <si>
    <t>Salvage and Relay Culvert End Section</t>
  </si>
  <si>
    <t>02622001D</t>
  </si>
  <si>
    <t>Underdrain, _________ inch</t>
  </si>
  <si>
    <t>026220020</t>
  </si>
  <si>
    <t>Underdrain 12 inch</t>
  </si>
  <si>
    <t>026220050</t>
  </si>
  <si>
    <t>Underdrain 6 Inch</t>
  </si>
  <si>
    <t>026220060</t>
  </si>
  <si>
    <t>Underdrain 8 Inch</t>
  </si>
  <si>
    <t>026240010</t>
  </si>
  <si>
    <t>Approach Slab Catch Basin</t>
  </si>
  <si>
    <t>026250010</t>
  </si>
  <si>
    <t>Approach Slab Drain Frame Modification</t>
  </si>
  <si>
    <t>026260010</t>
  </si>
  <si>
    <t>Deck Frame Modification</t>
  </si>
  <si>
    <t>026260020</t>
  </si>
  <si>
    <t>Deck Drain Closure</t>
  </si>
  <si>
    <t>026330010</t>
  </si>
  <si>
    <t>Concrete Drainage Structure</t>
  </si>
  <si>
    <t>026330015</t>
  </si>
  <si>
    <t>Concrete Drainage Box - Precast</t>
  </si>
  <si>
    <t>02633001D</t>
  </si>
  <si>
    <t xml:space="preserve">Concrete Drainage Structure ______ft Wide X _______ft Deep </t>
  </si>
  <si>
    <t>026330025</t>
  </si>
  <si>
    <t>Manhole - Precast</t>
  </si>
  <si>
    <t>026330030</t>
  </si>
  <si>
    <t>4 Foot Standard Manhole - CB 11</t>
  </si>
  <si>
    <t>026330035</t>
  </si>
  <si>
    <t>5 Foot Standard Manhole - CB 11</t>
  </si>
  <si>
    <t>026330040</t>
  </si>
  <si>
    <t>4 Foot Standard Manhole 3 ft to 5 ft Deep - CB 11</t>
  </si>
  <si>
    <t>026330045</t>
  </si>
  <si>
    <t xml:space="preserve">4 Foot Standard Manhole 5 ft to 7 ft Deep - CB 11 </t>
  </si>
  <si>
    <t>026330050</t>
  </si>
  <si>
    <t>4 Foot Standard Manhole 7 ft to 9 ft Deep - CB 11</t>
  </si>
  <si>
    <t>026330055</t>
  </si>
  <si>
    <t xml:space="preserve">4 Foot Standard Manhole 9 ft to 11 ft Deep - CB 11 </t>
  </si>
  <si>
    <t>026330060</t>
  </si>
  <si>
    <t xml:space="preserve">5 Foot Standard Manhole 3 ft to 5 ft Deep - CB 11 </t>
  </si>
  <si>
    <t>026330065</t>
  </si>
  <si>
    <t xml:space="preserve">5 Foot Standard Manhole 5 ft to 7 ft Deep - CB 11 </t>
  </si>
  <si>
    <t>026330070</t>
  </si>
  <si>
    <t>5 Foot Standard Manhole 7 ft to 9 ft Deep - CB 11</t>
  </si>
  <si>
    <t>026330075</t>
  </si>
  <si>
    <t>5 Foot Standard Manhole 9 ft to 11 ft Deep - CB 11</t>
  </si>
  <si>
    <t>02633010D</t>
  </si>
  <si>
    <t>Concrete Drainage Structure __________</t>
  </si>
  <si>
    <t>02633011D</t>
  </si>
  <si>
    <t>026330120</t>
  </si>
  <si>
    <t>Concrete Drainage Structure 3 ft to 5 ft Deep - CB 9</t>
  </si>
  <si>
    <t>02633012D</t>
  </si>
  <si>
    <t>026330130</t>
  </si>
  <si>
    <t>Concrete Drainage Structure 5 ft to 7 ft Deep - CB 9</t>
  </si>
  <si>
    <t>02633013D</t>
  </si>
  <si>
    <t>026330140</t>
  </si>
  <si>
    <t>Concrete Drainage Structure 7 ft to 9 ft Deep - CB 9</t>
  </si>
  <si>
    <t>02633014D</t>
  </si>
  <si>
    <t>026330150</t>
  </si>
  <si>
    <t>Concrete Drainage Structure 9 ft to 11 ft Deep - CB 9</t>
  </si>
  <si>
    <t>02633015D</t>
  </si>
  <si>
    <t>Concrete Drainage Structure__________</t>
  </si>
  <si>
    <t>026330160</t>
  </si>
  <si>
    <t>Concrete Drainage Structure 3 ft to 5 ft Deep - CB 10</t>
  </si>
  <si>
    <t>02633016D</t>
  </si>
  <si>
    <t>026330170</t>
  </si>
  <si>
    <t>Concrete Drainage Structure 5 ft to 7 ft Deep - CB 10</t>
  </si>
  <si>
    <t>02633017D</t>
  </si>
  <si>
    <t>026330180</t>
  </si>
  <si>
    <t>Concrete Drainage Structure 7 ft to 9 ft Deep - CB 10</t>
  </si>
  <si>
    <t>02633018D</t>
  </si>
  <si>
    <t>026330190</t>
  </si>
  <si>
    <t>Concrete Drainage Structure 9 ft to 11 ft Deep - CB 10</t>
  </si>
  <si>
    <t>02633019D</t>
  </si>
  <si>
    <t>02633020D</t>
  </si>
  <si>
    <t>Concrete Drainage Structure _______ft Wide X _______ft Deep - CB 5</t>
  </si>
  <si>
    <t>02633021D</t>
  </si>
  <si>
    <t>Concrete Drainage Structure_____ft to _____ft Deep - CB 9</t>
  </si>
  <si>
    <t>02633022D</t>
  </si>
  <si>
    <t>Concrete Drainage Structure _____ft to _____ft Deep - CB 10</t>
  </si>
  <si>
    <t>02633023D</t>
  </si>
  <si>
    <t>Concrete Drainage Structure - Precast - CB 12 1 1/2' wide x 4 ft. long x ____ ft deep</t>
  </si>
  <si>
    <t>02633024D</t>
  </si>
  <si>
    <t>Concrete Drainage Structure - Precast - CB 12- 2 ft' wide x 2 ft. long x ____ ft deep</t>
  </si>
  <si>
    <t>02633025D</t>
  </si>
  <si>
    <t>Concrete Drainage Structure - Precast - CB 12- 2 ft. wide x 3 ft. long x ____ ft deep</t>
  </si>
  <si>
    <t>02633026D</t>
  </si>
  <si>
    <t>Concrete Drainage Structure - Precast - CB 12- 2 1/2 ft. wide x 4 ft. long x ____ ft deep</t>
  </si>
  <si>
    <t>02633027D</t>
  </si>
  <si>
    <t>Concrete Drainage Structure - Precast - CB 12- 3 ft. wide x 3 ft. long x ____ ft deep</t>
  </si>
  <si>
    <t>02633028D</t>
  </si>
  <si>
    <t>Concrete Drainage Structure - Precast - CB 12- 3 ft. wide x 3 1/2 ft. long x ____ ft deep</t>
  </si>
  <si>
    <t>02633029D</t>
  </si>
  <si>
    <t>Concrete Drainage Structure - Precast - CB 12- 4 ft. wide x 4 ft. long x ____ ft deep</t>
  </si>
  <si>
    <t>026330335</t>
  </si>
  <si>
    <t xml:space="preserve"> Concrete Drainage Structure Diversion Box - DB 3A</t>
  </si>
  <si>
    <t>026330340</t>
  </si>
  <si>
    <t>Drop Inlet, Type A - CB 6A</t>
  </si>
  <si>
    <t>026330350</t>
  </si>
  <si>
    <t>Drop Inlet, Type B - CB 7A</t>
  </si>
  <si>
    <t>026330370</t>
  </si>
  <si>
    <t>Open Curb Shallow Catch Basin - CB 4</t>
  </si>
  <si>
    <t>026330380</t>
  </si>
  <si>
    <t>Shallow Catch Basin - CB 3</t>
  </si>
  <si>
    <t>026330390</t>
  </si>
  <si>
    <t>Concrete Apron, Type A - CB 6B</t>
  </si>
  <si>
    <t>026330400</t>
  </si>
  <si>
    <t>Concrete Apron, Type B - CB 7B</t>
  </si>
  <si>
    <t>026330410</t>
  </si>
  <si>
    <t>Double Catch Basin - CB 8</t>
  </si>
  <si>
    <t>026350005</t>
  </si>
  <si>
    <t>Diversion Box Solid Cover and Frame Type A</t>
  </si>
  <si>
    <t>026350010</t>
  </si>
  <si>
    <t xml:space="preserve">Diversion Box Solid Cover and Frame Type B </t>
  </si>
  <si>
    <t>026350015</t>
  </si>
  <si>
    <t xml:space="preserve">Diversion Box Solid Cover and Frame Type C </t>
  </si>
  <si>
    <t>026350020</t>
  </si>
  <si>
    <t>Open Curb Inlet Grate and Frame - GF 13</t>
  </si>
  <si>
    <t>026350025</t>
  </si>
  <si>
    <t>Manhole Frame and Grated Cover - GF 1</t>
  </si>
  <si>
    <t>026350030</t>
  </si>
  <si>
    <t>Manhole Frame and Solid Cover - GF 2</t>
  </si>
  <si>
    <t>026350035</t>
  </si>
  <si>
    <t>Rectangular Grate and Frame (Standard Grating) - GF 3</t>
  </si>
  <si>
    <t>026350040</t>
  </si>
  <si>
    <t xml:space="preserve">Rectangular Grate And Frame (Bicycle Safe Grating) - GF 3 </t>
  </si>
  <si>
    <t>026350045</t>
  </si>
  <si>
    <t>Solid Cover and Frame - GF 5</t>
  </si>
  <si>
    <t>026350050</t>
  </si>
  <si>
    <t>Manhole Steps - GF 6</t>
  </si>
  <si>
    <t>026350060</t>
  </si>
  <si>
    <t>Trash Racks - GF 10</t>
  </si>
  <si>
    <t>026350070</t>
  </si>
  <si>
    <t>Perpendicular Grate and Frame</t>
  </si>
  <si>
    <t>026430010</t>
  </si>
  <si>
    <t>Concrete-Lined Ditch</t>
  </si>
  <si>
    <t>026450010</t>
  </si>
  <si>
    <t>Precast Concrete Box Culvert</t>
  </si>
  <si>
    <t>026450020</t>
  </si>
  <si>
    <t>Precast Concrete Three-Sided Culvert</t>
  </si>
  <si>
    <t>027120010</t>
  </si>
  <si>
    <t>027210010</t>
  </si>
  <si>
    <t>027210020</t>
  </si>
  <si>
    <t>027350010</t>
  </si>
  <si>
    <t>027410040</t>
  </si>
  <si>
    <t>HMA - 3/8 inch</t>
  </si>
  <si>
    <t>027410050</t>
  </si>
  <si>
    <t>HMA - 1/2 inch</t>
  </si>
  <si>
    <t>027410060</t>
  </si>
  <si>
    <t>HMA - 3/4 inch</t>
  </si>
  <si>
    <t>027410070</t>
  </si>
  <si>
    <t>HMA - 1 inch</t>
  </si>
  <si>
    <t>027410080</t>
  </si>
  <si>
    <t>Asphalt Concrete Driveway</t>
  </si>
  <si>
    <t>027430040</t>
  </si>
  <si>
    <t>HMA - Bike/Ped Path 1/2 Inch</t>
  </si>
  <si>
    <t>027430050</t>
  </si>
  <si>
    <t>HMA - Bike/Ped Path 3/8 inch</t>
  </si>
  <si>
    <t>027480010</t>
  </si>
  <si>
    <t>027480030</t>
  </si>
  <si>
    <t>027480040</t>
  </si>
  <si>
    <t>027480050</t>
  </si>
  <si>
    <t>027480060</t>
  </si>
  <si>
    <t>027510010</t>
  </si>
  <si>
    <t>Partial Depth Repair for Concrete Pavement</t>
  </si>
  <si>
    <t>027520010</t>
  </si>
  <si>
    <t>Portland Cement Concrete Pavement 7 inch Thick</t>
  </si>
  <si>
    <t>027520020</t>
  </si>
  <si>
    <t>027520030</t>
  </si>
  <si>
    <t>Portland Cement Concrete Pavement 11 inch Thick</t>
  </si>
  <si>
    <t>027530010</t>
  </si>
  <si>
    <t>Full Depth Slab Replacement</t>
  </si>
  <si>
    <t>027540010</t>
  </si>
  <si>
    <t>Dowel Bar Retrofit</t>
  </si>
  <si>
    <t>027550010</t>
  </si>
  <si>
    <t>Concrete Slab Jacking</t>
  </si>
  <si>
    <t>027550020</t>
  </si>
  <si>
    <t>Non-Shrink Grout</t>
  </si>
  <si>
    <t>027550030</t>
  </si>
  <si>
    <t>lb</t>
  </si>
  <si>
    <t>Polyurethane</t>
  </si>
  <si>
    <t>027560001</t>
  </si>
  <si>
    <t>Spray Paver Applied Asphalt Membrane</t>
  </si>
  <si>
    <t>027610021</t>
  </si>
  <si>
    <t>Longitudinal Rumble Strip - Concrete</t>
  </si>
  <si>
    <t>027610023</t>
  </si>
  <si>
    <t>Longitudinal Rumble Strip - Asphalt</t>
  </si>
  <si>
    <t>027610030</t>
  </si>
  <si>
    <t>Continuous Longitudinal Rumble Strip - Concrete</t>
  </si>
  <si>
    <t>027610035</t>
  </si>
  <si>
    <t>Continuous Longitudinal Rumble Strip - Asphalt</t>
  </si>
  <si>
    <t>027650020</t>
  </si>
  <si>
    <t>Pavement Message Paint</t>
  </si>
  <si>
    <t>027650030</t>
  </si>
  <si>
    <t>Remove Pavement Message</t>
  </si>
  <si>
    <t>027650040</t>
  </si>
  <si>
    <t>027650050</t>
  </si>
  <si>
    <t>027650060</t>
  </si>
  <si>
    <t>027650070</t>
  </si>
  <si>
    <t>Pavement Marking Paint (Stop Line, Crosswalks-12 inch)</t>
  </si>
  <si>
    <t>027650075</t>
  </si>
  <si>
    <t>Pavement Marking Paint (Stop Line, Crosswalk-12 inch)</t>
  </si>
  <si>
    <t>027680005</t>
  </si>
  <si>
    <t>4 inch Pavement Marking Tape - White</t>
  </si>
  <si>
    <t>027680010</t>
  </si>
  <si>
    <t>8 inch Pavement Marking Tape - White</t>
  </si>
  <si>
    <t>027680015</t>
  </si>
  <si>
    <t>4 inch Pavement Marking Tape - Yellow</t>
  </si>
  <si>
    <t>027680020</t>
  </si>
  <si>
    <t>8 inch Pavement Marking Tape - Yellow</t>
  </si>
  <si>
    <t>027680025</t>
  </si>
  <si>
    <t>Pavement Message (Tape)</t>
  </si>
  <si>
    <t>027680030</t>
  </si>
  <si>
    <t>4 inch Pavement Marking Epoxy - White  Type 1</t>
  </si>
  <si>
    <t>027680035</t>
  </si>
  <si>
    <t>8 inch Pavement Marking Epoxy - White  Type 1</t>
  </si>
  <si>
    <t>027680040</t>
  </si>
  <si>
    <t>4 inch Pavement Marking Epoxy - Yellow  Type 1</t>
  </si>
  <si>
    <t>027680045</t>
  </si>
  <si>
    <t>8 inch Pavement Marking Epoxy - Yellow  Type 1</t>
  </si>
  <si>
    <t>027680050</t>
  </si>
  <si>
    <t>4 inch Pavement Marking Epoxy - White  Type 2</t>
  </si>
  <si>
    <t>027680055</t>
  </si>
  <si>
    <t>8 inch Pavement Marking Epoxy - White  Type 2</t>
  </si>
  <si>
    <t>027680060</t>
  </si>
  <si>
    <t>4 inch Pavement Marking Epoxy - Yellow  Type 2</t>
  </si>
  <si>
    <t>027680065</t>
  </si>
  <si>
    <t>8 inch Pavement Marking Epoxy - Yellow  Type 2</t>
  </si>
  <si>
    <t>027680070</t>
  </si>
  <si>
    <t>Pavement Message (Epoxy),  Type 1</t>
  </si>
  <si>
    <t>027680075</t>
  </si>
  <si>
    <t>Pavement Message (Epoxy),  Type 2</t>
  </si>
  <si>
    <t>027680105</t>
  </si>
  <si>
    <t>027680110</t>
  </si>
  <si>
    <t>Pavement Message (Preformed Thermoplastic Stop Line, Crosswalks - 12 inch)</t>
  </si>
  <si>
    <t>027680115</t>
  </si>
  <si>
    <t>027710005</t>
  </si>
  <si>
    <t>Concrete Gutter</t>
  </si>
  <si>
    <t>027710010</t>
  </si>
  <si>
    <t>Concrete Curb Type B3</t>
  </si>
  <si>
    <t>027710015</t>
  </si>
  <si>
    <t>Concrete Curb Type B4</t>
  </si>
  <si>
    <t>027710017</t>
  </si>
  <si>
    <t>Concrete Curb Type B5</t>
  </si>
  <si>
    <t>027710020</t>
  </si>
  <si>
    <t>Concrete Curb Type M2</t>
  </si>
  <si>
    <t>027710025</t>
  </si>
  <si>
    <t>027710030</t>
  </si>
  <si>
    <t>Concrete Curb and Gutter Type B2</t>
  </si>
  <si>
    <t>027710035</t>
  </si>
  <si>
    <t>Concrete Curb and Gutter Type M1</t>
  </si>
  <si>
    <t>027710037</t>
  </si>
  <si>
    <t>Concrete Curb and Gutter Transition</t>
  </si>
  <si>
    <t>027710040</t>
  </si>
  <si>
    <t>Concrete Driveway Flared,  6 inch  Thick</t>
  </si>
  <si>
    <t>027710045</t>
  </si>
  <si>
    <t>Concrete Driveway Flared,  7 inch  Thick</t>
  </si>
  <si>
    <t>027710050</t>
  </si>
  <si>
    <t>Concrete Driveway Open,  6 inch  Thick</t>
  </si>
  <si>
    <t>027710055</t>
  </si>
  <si>
    <t>Concrete Driveway Open,  7 inch  Thick</t>
  </si>
  <si>
    <t>027710058</t>
  </si>
  <si>
    <t>Corner Pedestrian Access Ramp</t>
  </si>
  <si>
    <t>027710059</t>
  </si>
  <si>
    <t>Perpendicular/Parallel Pedestrian Access Ramp</t>
  </si>
  <si>
    <t>027710086</t>
  </si>
  <si>
    <t>Detectable Warning Surface</t>
  </si>
  <si>
    <t>027710100</t>
  </si>
  <si>
    <t>Plowable End Section</t>
  </si>
  <si>
    <t>027710110</t>
  </si>
  <si>
    <t>Reconstruct Pedestrian Access Ramp</t>
  </si>
  <si>
    <t>027760010</t>
  </si>
  <si>
    <t>027760015</t>
  </si>
  <si>
    <t>027760020</t>
  </si>
  <si>
    <t>Concrete Median Filler</t>
  </si>
  <si>
    <t>027760030</t>
  </si>
  <si>
    <t>Concrete Flatwork  4 inch  thick</t>
  </si>
  <si>
    <t>027760040</t>
  </si>
  <si>
    <t>Concrete Flatwork  6 inch  thick</t>
  </si>
  <si>
    <t>027760050</t>
  </si>
  <si>
    <t>Concrete Flatwork  7 inch  thick</t>
  </si>
  <si>
    <t>027760060</t>
  </si>
  <si>
    <t>Concrete Flatwork  8 inch  thick</t>
  </si>
  <si>
    <t>027850010</t>
  </si>
  <si>
    <t>Chip Seal Coat, Type I</t>
  </si>
  <si>
    <t>027850020</t>
  </si>
  <si>
    <t>027850040</t>
  </si>
  <si>
    <t>Emulsified Asphalt RS-2</t>
  </si>
  <si>
    <t>027850045</t>
  </si>
  <si>
    <t>Emulsified Asphalt CRS-2A</t>
  </si>
  <si>
    <t>027850050</t>
  </si>
  <si>
    <t>Emulsified Asphalt CRS-2B</t>
  </si>
  <si>
    <t>027850055</t>
  </si>
  <si>
    <t>Emulsified Asphalt CRS-2P</t>
  </si>
  <si>
    <t>027850060</t>
  </si>
  <si>
    <t>027850065</t>
  </si>
  <si>
    <t>Emulsified Asphalt HFRS-2P</t>
  </si>
  <si>
    <t>027850070</t>
  </si>
  <si>
    <t>Emulsified Asphalt HFMS-2</t>
  </si>
  <si>
    <t>027850075</t>
  </si>
  <si>
    <t>027860010</t>
  </si>
  <si>
    <t>027860020</t>
  </si>
  <si>
    <t>027860030</t>
  </si>
  <si>
    <t>027860040</t>
  </si>
  <si>
    <t>027860050</t>
  </si>
  <si>
    <t>027870010</t>
  </si>
  <si>
    <t>Bonded Wearing Course - Type A</t>
  </si>
  <si>
    <t>027870020</t>
  </si>
  <si>
    <t>Bonded Wearing Course - Type B</t>
  </si>
  <si>
    <t>027870030</t>
  </si>
  <si>
    <t>Bonded Wearing Course - Type C</t>
  </si>
  <si>
    <t>027890010</t>
  </si>
  <si>
    <t>Asphalt Slurry Seal Coat</t>
  </si>
  <si>
    <t>028210002</t>
  </si>
  <si>
    <t>3 ft Chain Link Fence, Type I</t>
  </si>
  <si>
    <t>028210004</t>
  </si>
  <si>
    <t>4 ft Chain Link Fence, Type I</t>
  </si>
  <si>
    <t>028210006</t>
  </si>
  <si>
    <t>5 ft Chain Link Fence, Type I</t>
  </si>
  <si>
    <t>028210008</t>
  </si>
  <si>
    <t>6 ft Chain Link Fence, Type I</t>
  </si>
  <si>
    <t>028210010</t>
  </si>
  <si>
    <t>7 ft Chain Link Fence, Type I</t>
  </si>
  <si>
    <t>028210012</t>
  </si>
  <si>
    <t>3 ft Chain Link Fence, Type II</t>
  </si>
  <si>
    <t>028210014</t>
  </si>
  <si>
    <t>4 ft Chain Link Fence, Type II</t>
  </si>
  <si>
    <t>028210016</t>
  </si>
  <si>
    <t>5 ft Chain Link Fence, Type II</t>
  </si>
  <si>
    <t>028210018</t>
  </si>
  <si>
    <t>6 ft Chain Link Fence, Type II</t>
  </si>
  <si>
    <t>028210020</t>
  </si>
  <si>
    <t>7 ft Chain Link Fence, Type II</t>
  </si>
  <si>
    <t>028210022</t>
  </si>
  <si>
    <t>3 ft Chain Link Fence, Type III</t>
  </si>
  <si>
    <t>028210024</t>
  </si>
  <si>
    <t>4 ft Chain Link Fence, Type III</t>
  </si>
  <si>
    <t>028210026</t>
  </si>
  <si>
    <t>5 ft Chain Link Fence, Type III</t>
  </si>
  <si>
    <t>028210028</t>
  </si>
  <si>
    <t>6 ft Chain Link Fence, Type III</t>
  </si>
  <si>
    <t>028210030</t>
  </si>
  <si>
    <t>7 ft Chain Link Fence, Type III</t>
  </si>
  <si>
    <t>028210032</t>
  </si>
  <si>
    <t>3 ft Chain Link Fence, Type IV</t>
  </si>
  <si>
    <t>028210034</t>
  </si>
  <si>
    <t>4 ft Chain Link Fence, Type IV</t>
  </si>
  <si>
    <t>028210036</t>
  </si>
  <si>
    <t>5 ft Chain Link Fence, Type IV</t>
  </si>
  <si>
    <t>028210038</t>
  </si>
  <si>
    <t>6 ft Chain Link Fence, Type IV</t>
  </si>
  <si>
    <t>028210040</t>
  </si>
  <si>
    <t>7 ft Chain Link Fence, Type IV</t>
  </si>
  <si>
    <t>028210042</t>
  </si>
  <si>
    <t>Chain Link Fence, Type I with Barb Wire Arm</t>
  </si>
  <si>
    <t>028210044</t>
  </si>
  <si>
    <t>Chain Link Brace Post</t>
  </si>
  <si>
    <t>028210046</t>
  </si>
  <si>
    <t>Chain Link Gate, H= 3 ft  X  W= 4 ft</t>
  </si>
  <si>
    <t>028210048</t>
  </si>
  <si>
    <t>Chain Link Gate, H= 4 ft  X  W= 4 ft</t>
  </si>
  <si>
    <t>028210050</t>
  </si>
  <si>
    <t>Chain Link Gate, H= 5 ft  X  W= 4 ft</t>
  </si>
  <si>
    <t>028210052</t>
  </si>
  <si>
    <t>Chain Link Gate, H= 6 ft  X  W= 4 ft</t>
  </si>
  <si>
    <t>028210054</t>
  </si>
  <si>
    <t>Chain Link Gate, H= 3 ft  X  W= 6 ft</t>
  </si>
  <si>
    <t>028210056</t>
  </si>
  <si>
    <t>Chain Link Gate, H= 4 ft  X  W= 6 ft</t>
  </si>
  <si>
    <t>028210058</t>
  </si>
  <si>
    <t>Chain Link Gate, H= 5 ft  X  W= 6 ft</t>
  </si>
  <si>
    <t>028210060</t>
  </si>
  <si>
    <t>Chain Link Gate, H= 6 ft  X  W= 6 ft</t>
  </si>
  <si>
    <t>028210062</t>
  </si>
  <si>
    <t>Chain Link Gate, H= 3 ft  X  W= 8 ft</t>
  </si>
  <si>
    <t>028210064</t>
  </si>
  <si>
    <t>Chain Link Gate, H= 4 ft  X  W= 8 ft</t>
  </si>
  <si>
    <t>028210066</t>
  </si>
  <si>
    <t>Chain Link Gate, H= 5 ft  X  W= 8 ft</t>
  </si>
  <si>
    <t>028210068</t>
  </si>
  <si>
    <t>Chain Link Gate, H= 6 ft  X  W= 8 ft</t>
  </si>
  <si>
    <t>028210070</t>
  </si>
  <si>
    <t>Chain Link Gate, H= 3 ft  X  W= 10 ft</t>
  </si>
  <si>
    <t>028210072</t>
  </si>
  <si>
    <t>Chain Link Gate, H= 4 ft  X  W= 10 ft</t>
  </si>
  <si>
    <t>028210074</t>
  </si>
  <si>
    <t>Chain Link Gate, H= 5 ft  X  W= 10 ft</t>
  </si>
  <si>
    <t>028210076</t>
  </si>
  <si>
    <t>Chain Link Gate, H= 6 ft  X  W= 10 ft</t>
  </si>
  <si>
    <t>028210078</t>
  </si>
  <si>
    <t>Chain Link Gate, H= 3 ft  X  W= 12 ft</t>
  </si>
  <si>
    <t>028210080</t>
  </si>
  <si>
    <t>Chain Link Gate, H= 4 ft  X  W= 12 ft</t>
  </si>
  <si>
    <t>028210082</t>
  </si>
  <si>
    <t>Chain Link Gate, H= 5 ft  X  W= 12 ft</t>
  </si>
  <si>
    <t>028210084</t>
  </si>
  <si>
    <t>Chain Link Gate, H= 6 ft  X  W= 12 ft</t>
  </si>
  <si>
    <t>028210086</t>
  </si>
  <si>
    <t>Chain Link Gate, H= 3 ft  X  W= 14 ft</t>
  </si>
  <si>
    <t>028210088</t>
  </si>
  <si>
    <t>Chain Link Gate, H= 4 ft  X  W= 14 ft</t>
  </si>
  <si>
    <t>028210090</t>
  </si>
  <si>
    <t>Chain Link Gate, H= 5 ft  X  W= 14 ft</t>
  </si>
  <si>
    <t>028210092</t>
  </si>
  <si>
    <t>Chain Link Gate, H= 6 ft  X  W= 14 ft</t>
  </si>
  <si>
    <t>028210094</t>
  </si>
  <si>
    <t>Chain Link Gate, H= 3 ft  X  W= 16 ft</t>
  </si>
  <si>
    <t>028210096</t>
  </si>
  <si>
    <t>Chain Link Gate, H= 4 ft  X  W= 16 ft</t>
  </si>
  <si>
    <t>028210098</t>
  </si>
  <si>
    <t>Chain Link Gate, H= 5 ft  X  W= 16 ft</t>
  </si>
  <si>
    <t>028210100</t>
  </si>
  <si>
    <t>Chain Link Gate, H= 6 ft  X  W= 16 ft</t>
  </si>
  <si>
    <t>028220005</t>
  </si>
  <si>
    <t>028220010</t>
  </si>
  <si>
    <t>028220015</t>
  </si>
  <si>
    <t>028220020</t>
  </si>
  <si>
    <t>028220025</t>
  </si>
  <si>
    <t>028220030</t>
  </si>
  <si>
    <t>028220035</t>
  </si>
  <si>
    <t>028220040</t>
  </si>
  <si>
    <t>028220045</t>
  </si>
  <si>
    <t>028220050</t>
  </si>
  <si>
    <t>028220055</t>
  </si>
  <si>
    <t>028220060</t>
  </si>
  <si>
    <t>028220065</t>
  </si>
  <si>
    <t>Right-of-Way Gate   4 ft</t>
  </si>
  <si>
    <t>028220070</t>
  </si>
  <si>
    <t>Right-of-Way Gate   6 ft</t>
  </si>
  <si>
    <t>028220075</t>
  </si>
  <si>
    <t>Right-of-Way Gate   8 ft</t>
  </si>
  <si>
    <t>028220080</t>
  </si>
  <si>
    <t>Right-of-Way Gate   10 ft</t>
  </si>
  <si>
    <t>028220085</t>
  </si>
  <si>
    <t>Right-of-Way Gate   12 ft</t>
  </si>
  <si>
    <t>028220090</t>
  </si>
  <si>
    <t>Right-of-Way Gate   14 ft</t>
  </si>
  <si>
    <t>028220095</t>
  </si>
  <si>
    <t>Right-of-Way Deer Gate</t>
  </si>
  <si>
    <t>028220100</t>
  </si>
  <si>
    <t>Swing Gate</t>
  </si>
  <si>
    <t>028220105</t>
  </si>
  <si>
    <t>Right-of-Way Brace Post</t>
  </si>
  <si>
    <t>028230010</t>
  </si>
  <si>
    <t>Right-of-Way Pole Fence</t>
  </si>
  <si>
    <t>028250010</t>
  </si>
  <si>
    <t>Precast Concrete Cattle Guard</t>
  </si>
  <si>
    <t>028270010</t>
  </si>
  <si>
    <t>Wildlife Escape Ramp</t>
  </si>
  <si>
    <t>028270020</t>
  </si>
  <si>
    <t>High Migratory Wildlife Escape Ramp</t>
  </si>
  <si>
    <t>028410030</t>
  </si>
  <si>
    <t>W-Beam Guardrail Transition Element</t>
  </si>
  <si>
    <t>028410035</t>
  </si>
  <si>
    <t>W-Beam Guardrail Median Barrier Transition</t>
  </si>
  <si>
    <t>028410036</t>
  </si>
  <si>
    <t>W-Beam Buried in Back Slope Terminal</t>
  </si>
  <si>
    <t>028410046</t>
  </si>
  <si>
    <t>W-Beam Buried in Back Slope Terminal with Rub Rail</t>
  </si>
  <si>
    <t>028410056</t>
  </si>
  <si>
    <t>W-Beam Guardrail Curved</t>
  </si>
  <si>
    <t>028410066</t>
  </si>
  <si>
    <t>W-Beam Guardrail Nested - various spans</t>
  </si>
  <si>
    <t>028410067</t>
  </si>
  <si>
    <t>W-Beam Guardrail - Raise Existing Rail With Three Hole Posts</t>
  </si>
  <si>
    <t>028410076</t>
  </si>
  <si>
    <t>W-Beam Guardrail Median Barrier</t>
  </si>
  <si>
    <t>028410086</t>
  </si>
  <si>
    <t>028410087</t>
  </si>
  <si>
    <t>W-Beam Guardrail 3 ft 1 1/2 inch on center punched and 84 inch Wood Post</t>
  </si>
  <si>
    <t>028410090</t>
  </si>
  <si>
    <t>W-Beam Guardrail Anchor Type 1</t>
  </si>
  <si>
    <t>028410092</t>
  </si>
  <si>
    <t>W-Beam Guardrail Anchor Type II</t>
  </si>
  <si>
    <t>028410096</t>
  </si>
  <si>
    <t>W-Beam Guardrail 72 inch Steel Post</t>
  </si>
  <si>
    <t>028410097</t>
  </si>
  <si>
    <t>W-Beam Guardrail 3 ft 1 1/2 inch on center punched and 84 inch Steel Post</t>
  </si>
  <si>
    <t>028420010</t>
  </si>
  <si>
    <t>Delineator Type I</t>
  </si>
  <si>
    <t>028420020</t>
  </si>
  <si>
    <t>Delineator Type II</t>
  </si>
  <si>
    <t>028420030</t>
  </si>
  <si>
    <t>Delineator - Culvert Marker</t>
  </si>
  <si>
    <t>028420040</t>
  </si>
  <si>
    <t>Delineator - Maintenance Marker</t>
  </si>
  <si>
    <t>028420050</t>
  </si>
  <si>
    <t>Delineator - Freeway Turn Around</t>
  </si>
  <si>
    <t>028420060</t>
  </si>
  <si>
    <t>Flexible Delineator Post - Type I</t>
  </si>
  <si>
    <t>028420065</t>
  </si>
  <si>
    <t>Flexible Delineator Post - Type II</t>
  </si>
  <si>
    <t>028420070</t>
  </si>
  <si>
    <t>Flexible Delineator Post - Culvert Marker</t>
  </si>
  <si>
    <t>028420075</t>
  </si>
  <si>
    <t>Flexible Delineator Post - Maintenance Marker</t>
  </si>
  <si>
    <t>028430005</t>
  </si>
  <si>
    <t>Crash Cushion Type  A</t>
  </si>
  <si>
    <t>028430010</t>
  </si>
  <si>
    <t>Crash Cushion Type  B</t>
  </si>
  <si>
    <t>028430015</t>
  </si>
  <si>
    <t>Crash Cushion Type  C</t>
  </si>
  <si>
    <t>028430020</t>
  </si>
  <si>
    <t>Crash Cushion Type  D</t>
  </si>
  <si>
    <t>028430025</t>
  </si>
  <si>
    <t>Crash Cushion Type E</t>
  </si>
  <si>
    <t>028430030</t>
  </si>
  <si>
    <t>Crash Cushion Type  F</t>
  </si>
  <si>
    <t>028430035</t>
  </si>
  <si>
    <t>028430040</t>
  </si>
  <si>
    <t>Crash Cushion Type H</t>
  </si>
  <si>
    <t>028440010</t>
  </si>
  <si>
    <t>Precast Concrete Barrier - 32 Inch (New Jersey Shape)</t>
  </si>
  <si>
    <t>028440020</t>
  </si>
  <si>
    <t>Precast Concrete Half Barrier - 32 Inch (New Jersey Shape), 20 Foot Long</t>
  </si>
  <si>
    <t>028440030</t>
  </si>
  <si>
    <t>Cast-in-Place Concrete Constant Slope Barrier - 42 Inch</t>
  </si>
  <si>
    <t>028440040</t>
  </si>
  <si>
    <t>Cast-in-Place Concrete Constant Slope Barrier - 42 Inch, Approach End Section</t>
  </si>
  <si>
    <t>028440050</t>
  </si>
  <si>
    <t>Cast-in-Place Concrete Constant Slope Barrier Trailing End (B) 14 Feet</t>
  </si>
  <si>
    <t>028440060</t>
  </si>
  <si>
    <t>Cast-in-Place Concrete Constant Slope Barrier Trailing End (C) 10 Feet</t>
  </si>
  <si>
    <t>028440070</t>
  </si>
  <si>
    <t>Precast Concrete Constant Slope Barrier-42 Inch, 32 Inch(New Jersey Shape)Transition, No Stablz Pins</t>
  </si>
  <si>
    <t>028440080</t>
  </si>
  <si>
    <t>Precast Concrete Barrier - 32 Inch (New Jersey Shape), Sloped End Section (for speeds &lt; 40 MPH)</t>
  </si>
  <si>
    <t>028440090</t>
  </si>
  <si>
    <t>Precast Concrete Constant Slope Barrier - 42 Inch</t>
  </si>
  <si>
    <t>028440100</t>
  </si>
  <si>
    <t>Precast Concrete Constant Slope Barrier - 42 Inch, No Stabilization Pins</t>
  </si>
  <si>
    <t>028440110</t>
  </si>
  <si>
    <t>Precast Concrete Barrier - 32 Inch (New Jersey Shape) - No Stabilization Pins</t>
  </si>
  <si>
    <t>028440120</t>
  </si>
  <si>
    <t>Precast Concrete Barrier - 32 inch New Jersey Shape, Retaining Barrier</t>
  </si>
  <si>
    <t>028440130</t>
  </si>
  <si>
    <t>Precast Concrete Barrier - 32 inch New Jersey Shape, Median Small Sign Section</t>
  </si>
  <si>
    <t>028440140</t>
  </si>
  <si>
    <t>Precast Concrete Barrier-32 inch New Jersey Shape, Median Small Sign Section, No Stabilization Pins</t>
  </si>
  <si>
    <t>028440150</t>
  </si>
  <si>
    <t>Cast-In-Place Concrete Barrier - 32 inch New Jersey Shape, 42 inch Constant Slope Barrier Transition</t>
  </si>
  <si>
    <t>028440160</t>
  </si>
  <si>
    <t>Precast Concrete Half Barrier - 32 inch New Jersey Shape, 12 Foot to 6 Inch Length</t>
  </si>
  <si>
    <t>028440170</t>
  </si>
  <si>
    <t>Precast Concrete Half Barrier - 32 inch New Jersey Shape, 10 Foot Length</t>
  </si>
  <si>
    <t>028440180</t>
  </si>
  <si>
    <t>Cast-In-Place Concrete Constant Slope Barrier - 42 Inch Stepped Median Barrier</t>
  </si>
  <si>
    <t>028440190</t>
  </si>
  <si>
    <t>Cast-In-Place Concrete Constant Slope Barrier - 42 Inch Retaining Barrier</t>
  </si>
  <si>
    <t>028440200</t>
  </si>
  <si>
    <t>Cast-In-Place Concrete Constant Slope Barrier - 42 Inch Trailing Sloped End Section</t>
  </si>
  <si>
    <t>028440210</t>
  </si>
  <si>
    <t>Cast-In-Place Concrete Constant Slope Barrier - 42 Inch Sign Structure Foundation Transition</t>
  </si>
  <si>
    <t>028440220</t>
  </si>
  <si>
    <t>Cast-In-Place Conc. Constant Slope Barrier-42" Sign Struc Foundation Transtn, Stepped Median Barrier</t>
  </si>
  <si>
    <t>028440230</t>
  </si>
  <si>
    <t>Cast-In-Place Concrete Constant Slope Barrier - 42 Inch Median Small Sign Section</t>
  </si>
  <si>
    <t>028440240</t>
  </si>
  <si>
    <t>Cast-In-Place Concrete Constant Slope Barrier - 42" Median Small Sign Sect., Stepped Median Barrier</t>
  </si>
  <si>
    <t>028440250</t>
  </si>
  <si>
    <t>Cast-In-Place Concrete Constant Slope Barrier, 42 Inch, TL-5</t>
  </si>
  <si>
    <t>028440260</t>
  </si>
  <si>
    <t>Cast-In-Place Concrete Constant Slope Barrier, 42 Inch, TL-5, Stepped Median Barrier</t>
  </si>
  <si>
    <t>028440270</t>
  </si>
  <si>
    <t>Cast-In-Place Concrete Constant Slope Barrier, 42 Inch, Bridge Parapet Transition</t>
  </si>
  <si>
    <t>028440280</t>
  </si>
  <si>
    <t>Precast Concrete Constant Slope Barrier, 42 Inch, Retaining Barrier</t>
  </si>
  <si>
    <t>028440290</t>
  </si>
  <si>
    <t>Precast Concrete Constant Slope Barrier, 42 Inch, Sloped End Section (For Speeds&lt; 40 MPH)</t>
  </si>
  <si>
    <t>028440300</t>
  </si>
  <si>
    <t>Precast Concrete Constant Slope Barrier, 42 Inch, Median Small Sign Section</t>
  </si>
  <si>
    <t>028440310</t>
  </si>
  <si>
    <t>Precast Concrete Constant Slope Barrier, 42 Inch, Median Small Sign Section, No Stabilization Pins</t>
  </si>
  <si>
    <t>028440320</t>
  </si>
  <si>
    <t>Precast Concrete Constant Slope Barrier, 42 Inch, 32 Inch New Jersey Shape Transition</t>
  </si>
  <si>
    <t>028440330</t>
  </si>
  <si>
    <t>Cast-In-Place Concrete Constant Slope Half Barrier 42 Inch</t>
  </si>
  <si>
    <t>028440340</t>
  </si>
  <si>
    <t>Cast-In-Place Concrete Constant Slope Half Barrier - 42 Inch, Retaining Barrier</t>
  </si>
  <si>
    <t>028440350</t>
  </si>
  <si>
    <t>Precast Concrete Constant Slope Half Barrier - 42 Inch</t>
  </si>
  <si>
    <t>028440360</t>
  </si>
  <si>
    <t>Cast-In-Place Concrete Constant Slope Barrier - 54 Inch</t>
  </si>
  <si>
    <t>028440370</t>
  </si>
  <si>
    <t>Cast-In-Place Concrete Constant Slope Barrier - 54 Inch, Stepped Median Barrier</t>
  </si>
  <si>
    <t>028440380</t>
  </si>
  <si>
    <t>Cast-In-Place Concrete Constant Slope Barrier - 54 Inch, Approach End Section</t>
  </si>
  <si>
    <t>028440390</t>
  </si>
  <si>
    <t>Cast-In-Place Concrete Constant Slope Barrier - 54 Inch, Trailing Sloped End Section</t>
  </si>
  <si>
    <t>028440400</t>
  </si>
  <si>
    <t>Cast-In-Place Concrete Constant Slope Barrier - 54 Inch, Sign Structure Foundation Transition</t>
  </si>
  <si>
    <t>028440410</t>
  </si>
  <si>
    <t>Cast-In-Place Conc. Constant Slope Barrier-54", Sign Struc. Foundtn. Transition, Stpd Median Barrier</t>
  </si>
  <si>
    <t>028440420</t>
  </si>
  <si>
    <t>Cast-In-Place Concrete Constant Slope Barrier - 54 Inch, Median Small Sign Section</t>
  </si>
  <si>
    <t>028440430</t>
  </si>
  <si>
    <t>Cast-In-Place Concrete Constant Slope Barrier-54", Median Small Sign Section, Stepped Median Barrier</t>
  </si>
  <si>
    <t>028440440</t>
  </si>
  <si>
    <t>Cast-In-Place Concrete Constant Slope Barrier - 54 Inch, TL-5</t>
  </si>
  <si>
    <t>028440450</t>
  </si>
  <si>
    <t>Cast-In-Place Concrete Constant Slope Barrier - 54 Inch, TL-5, Stepped Median Barrier</t>
  </si>
  <si>
    <t>028440460</t>
  </si>
  <si>
    <t>Cast-In-Place Concrete Constant Slope Barrier - 54 Inch, Bridge Parapet Transition</t>
  </si>
  <si>
    <t>028440470</t>
  </si>
  <si>
    <t>Cast-In-Place Concrete Constant Slope Barrier - 54 Inch, 42 Inch Constant Slope Barrier Transition</t>
  </si>
  <si>
    <t>028450020</t>
  </si>
  <si>
    <t>High Tension Cable Barrier 10' Post Spacing</t>
  </si>
  <si>
    <t>028450030</t>
  </si>
  <si>
    <t>High Tension Cable Barrier 5' Post Spacing</t>
  </si>
  <si>
    <t>028450040</t>
  </si>
  <si>
    <t>High Tension Cable Barrier 3' Post Spacing</t>
  </si>
  <si>
    <t>028450050</t>
  </si>
  <si>
    <t>W-Beam Barrier with Cable Attachment Assembly (Single Sided)</t>
  </si>
  <si>
    <t>028450060</t>
  </si>
  <si>
    <t>Median W-Beam Barrier with Cable Attachment Assembly (Double Sided)</t>
  </si>
  <si>
    <t>028450070</t>
  </si>
  <si>
    <t>Cable/W-Beam Anchor Assembly (Single Sided)</t>
  </si>
  <si>
    <t>028450080</t>
  </si>
  <si>
    <t>Median Cable/W-Beam Anchor Assembly (2 Sided)</t>
  </si>
  <si>
    <t>028450090</t>
  </si>
  <si>
    <t>Cable/Concrete Bridge Parapet Departure Bracket</t>
  </si>
  <si>
    <t>028450100</t>
  </si>
  <si>
    <t>Cable Attachment Rail</t>
  </si>
  <si>
    <t>028450110</t>
  </si>
  <si>
    <t>Non-NCHRP-350 Cable Barrier End Anchor (deadman anchor)</t>
  </si>
  <si>
    <t>028450115</t>
  </si>
  <si>
    <t>NCHRP-350 Cable Barrier Terminal</t>
  </si>
  <si>
    <t>028450120</t>
  </si>
  <si>
    <t>Tension Gauge</t>
  </si>
  <si>
    <t>028450130</t>
  </si>
  <si>
    <t>Cable Posts</t>
  </si>
  <si>
    <t>028610020</t>
  </si>
  <si>
    <t>Precast Noise Wall  6 ft and less</t>
  </si>
  <si>
    <t>028610025</t>
  </si>
  <si>
    <t>Precast Noise Wall  7 ft</t>
  </si>
  <si>
    <t>028610030</t>
  </si>
  <si>
    <t xml:space="preserve">Precast Noise Wall  8 ft </t>
  </si>
  <si>
    <t>028610035</t>
  </si>
  <si>
    <t xml:space="preserve">Precast Noise Wall  9 ft </t>
  </si>
  <si>
    <t>028610040</t>
  </si>
  <si>
    <t>Precast Noise Wall  10 ft</t>
  </si>
  <si>
    <t>028610045</t>
  </si>
  <si>
    <t>Precast Noise Wall  11 ft</t>
  </si>
  <si>
    <t>028610050</t>
  </si>
  <si>
    <t>Precast Noise Wall  12 ft</t>
  </si>
  <si>
    <t>028610055</t>
  </si>
  <si>
    <t>Precast Noise Wall  13 ft</t>
  </si>
  <si>
    <t>028610060</t>
  </si>
  <si>
    <t>Precast Noise Wall  14 ft</t>
  </si>
  <si>
    <t>028610065</t>
  </si>
  <si>
    <t>Precast Noise Wall  15 ft</t>
  </si>
  <si>
    <t>028610070</t>
  </si>
  <si>
    <t>Precast Noise Wall  16 ft</t>
  </si>
  <si>
    <t>028610072</t>
  </si>
  <si>
    <t>Precast Noise Wall  17 ft</t>
  </si>
  <si>
    <t>028610075</t>
  </si>
  <si>
    <t>Precast Retaining/Noise Wall  7 ft and less</t>
  </si>
  <si>
    <t>028610080</t>
  </si>
  <si>
    <t>Precast Retaining/Noise Wall  8 ft</t>
  </si>
  <si>
    <t>028610085</t>
  </si>
  <si>
    <t>Precast Retaining/Noise Wall  9 ft</t>
  </si>
  <si>
    <t>028610090</t>
  </si>
  <si>
    <t>Precast Retaining/Noise Wall  10 ft</t>
  </si>
  <si>
    <t>028610095</t>
  </si>
  <si>
    <t>Precast Retaining/Noise Wall  11 ft</t>
  </si>
  <si>
    <t>028610100</t>
  </si>
  <si>
    <t>Precast Retaining/Noise Wall  12 ft</t>
  </si>
  <si>
    <t>028610105</t>
  </si>
  <si>
    <t>Precast Retaining/Noise Wall  13 ft</t>
  </si>
  <si>
    <t>028610110</t>
  </si>
  <si>
    <t>Precast Retaining/Noise Wall  14 ft</t>
  </si>
  <si>
    <t>028610115</t>
  </si>
  <si>
    <t>Precast Retaining/Noise Wall  15 ft</t>
  </si>
  <si>
    <t>028610120</t>
  </si>
  <si>
    <t>Precast Retaining/Noise Wall  16 ft</t>
  </si>
  <si>
    <t>028610125</t>
  </si>
  <si>
    <t>Precast Retaining/Noise Wall  17 ft</t>
  </si>
  <si>
    <t>028610130</t>
  </si>
  <si>
    <t>Precast Retaining/Noise Wall  18 ft</t>
  </si>
  <si>
    <t>028610135</t>
  </si>
  <si>
    <t>Precast Retaining/Noise Wall  19 ft</t>
  </si>
  <si>
    <t>028910020</t>
  </si>
  <si>
    <t>Sign, Type A-1</t>
  </si>
  <si>
    <t>028910025</t>
  </si>
  <si>
    <t>Sign Type A-1,  12 inch  X  18 inch</t>
  </si>
  <si>
    <t>028910026</t>
  </si>
  <si>
    <t>Sign Type A-1, 12 Inch X 24 Inch</t>
  </si>
  <si>
    <t>028910028</t>
  </si>
  <si>
    <t>028910030</t>
  </si>
  <si>
    <t>Sign Type A-1,  21 inch  X  15 inch</t>
  </si>
  <si>
    <t>028910040</t>
  </si>
  <si>
    <t>Sign Type A-1,  24 inch  X  12 inch</t>
  </si>
  <si>
    <t>028910042</t>
  </si>
  <si>
    <t>Sign Type A-1, 24 inch x 24 inch</t>
  </si>
  <si>
    <t>028910045</t>
  </si>
  <si>
    <t>Sign Type A-1,  24 inch  X  18 inch</t>
  </si>
  <si>
    <t>028910050</t>
  </si>
  <si>
    <t>Sign Type A-1,  24 inch  X  30 inch</t>
  </si>
  <si>
    <t>028910055</t>
  </si>
  <si>
    <t>Sign Type A-1,  30 inch  X  24 inch</t>
  </si>
  <si>
    <t>028910060</t>
  </si>
  <si>
    <t>Sign Type A-1,  30 inch  X  30 inch</t>
  </si>
  <si>
    <t>028910065</t>
  </si>
  <si>
    <t>Sign Type A-1,  36 inch  X  36 inch</t>
  </si>
  <si>
    <t>028910070</t>
  </si>
  <si>
    <t>Sign Type A-1,  48 inch  X  48 inch</t>
  </si>
  <si>
    <t>028910075</t>
  </si>
  <si>
    <t>Sign Type A-2</t>
  </si>
  <si>
    <t>028910080</t>
  </si>
  <si>
    <t>Sign Type A-2, 12 inch  X  18 inch</t>
  </si>
  <si>
    <t>028910085</t>
  </si>
  <si>
    <t>Sign Type A-2, 21 inch  X  15 inch</t>
  </si>
  <si>
    <t>028910093</t>
  </si>
  <si>
    <t xml:space="preserve">Sign Type A-2, 24 Inch x 8 Inch </t>
  </si>
  <si>
    <t>028910095</t>
  </si>
  <si>
    <t>Sign Type A-2, 24 inch  X  12 inch</t>
  </si>
  <si>
    <t>028910100</t>
  </si>
  <si>
    <t>Sign Type A-2, 24 inch  X  18 inch</t>
  </si>
  <si>
    <t>028910103</t>
  </si>
  <si>
    <t>Sign Type A-2, 24 inch x 24 inch</t>
  </si>
  <si>
    <t>028910105</t>
  </si>
  <si>
    <t>Sign Type A-2, 24 inch  X  30 inch</t>
  </si>
  <si>
    <t>028910107</t>
  </si>
  <si>
    <t xml:space="preserve">Sign Type A-2, 30 Inch x 8 Inch </t>
  </si>
  <si>
    <t>028910109</t>
  </si>
  <si>
    <t>Sign Type A-2, 30 Inch x 18 Inch</t>
  </si>
  <si>
    <t>028910110</t>
  </si>
  <si>
    <t>Sign Type A-2, 30 inch  X  24 inch</t>
  </si>
  <si>
    <t>028910115</t>
  </si>
  <si>
    <t>Sign Type A-2, 30 inch  X  30 inch</t>
  </si>
  <si>
    <t>028910120</t>
  </si>
  <si>
    <t>Sign Type A-2, 36 inch  X  36 inch</t>
  </si>
  <si>
    <t>028910125</t>
  </si>
  <si>
    <t>Sign Type A-2, 48 inch  X  48 inch</t>
  </si>
  <si>
    <t>028910127</t>
  </si>
  <si>
    <t>Sign Type A-2, 60 Inch x 18 Inch</t>
  </si>
  <si>
    <t>028910129</t>
  </si>
  <si>
    <t>Sign Type A-2, 96 Inch x 18 Inch</t>
  </si>
  <si>
    <t>028910240</t>
  </si>
  <si>
    <t>Panel Overlay</t>
  </si>
  <si>
    <t>028910245</t>
  </si>
  <si>
    <t>Panel Replacement</t>
  </si>
  <si>
    <t>028910260</t>
  </si>
  <si>
    <t>Temporary Sign Covering</t>
  </si>
  <si>
    <t>028910265</t>
  </si>
  <si>
    <t>028910270</t>
  </si>
  <si>
    <t>028910275</t>
  </si>
  <si>
    <t>Remove Sign Greater Than or Equal to 20 Square Feet</t>
  </si>
  <si>
    <t>028910280</t>
  </si>
  <si>
    <t>Relocate Overhead Sign</t>
  </si>
  <si>
    <t>028910285</t>
  </si>
  <si>
    <t>028910290</t>
  </si>
  <si>
    <t>Relocate Sign Greater Than or Equal to 20 Square Feet</t>
  </si>
  <si>
    <t>028910300</t>
  </si>
  <si>
    <t>Small Sign Tubular Steel Post Base (B1)</t>
  </si>
  <si>
    <t>028910305</t>
  </si>
  <si>
    <t>Small Sign Tubular Steel Post Base (B2A)</t>
  </si>
  <si>
    <t>028910310</t>
  </si>
  <si>
    <t>Small Sign Tubular Steel Post Base (B2B)</t>
  </si>
  <si>
    <t>028910315</t>
  </si>
  <si>
    <t>Slipbase Sign Base With Top Casting SLB-1 (B3)</t>
  </si>
  <si>
    <t>028910320</t>
  </si>
  <si>
    <t>Slipbase Sign Base With Top Casting SLB-2 (B3)</t>
  </si>
  <si>
    <t>028910325</t>
  </si>
  <si>
    <t xml:space="preserve"> Slipbase Tubular Steel Sign Base Surface Mounted Top Casting SLB-2 (B4A)</t>
  </si>
  <si>
    <t>028910330</t>
  </si>
  <si>
    <t>Tubular Steel Sign Base Surface Mounted (B4B2)</t>
  </si>
  <si>
    <t>028910335</t>
  </si>
  <si>
    <t>Constant Slope Barrier Mounted Tubular Steel Sign Base (B5A)</t>
  </si>
  <si>
    <t>028910340</t>
  </si>
  <si>
    <t>Standard Section Barrier Mounted Tubular Steel Sign Base (B5B)</t>
  </si>
  <si>
    <t>028910345</t>
  </si>
  <si>
    <t>Sign Post Base (B6A) for Standard Pipe Posts</t>
  </si>
  <si>
    <t>028910350</t>
  </si>
  <si>
    <t>Sign Post Base (B6B) For S Section Steel Posts</t>
  </si>
  <si>
    <t>028910355</t>
  </si>
  <si>
    <t>Sign Post P1</t>
  </si>
  <si>
    <t>028910360</t>
  </si>
  <si>
    <t>Sign Post P2</t>
  </si>
  <si>
    <t>028910365</t>
  </si>
  <si>
    <t>Sign Post P3</t>
  </si>
  <si>
    <t>028910370</t>
  </si>
  <si>
    <t>Sign Post P4</t>
  </si>
  <si>
    <t>028910375</t>
  </si>
  <si>
    <t>Sign Post P5</t>
  </si>
  <si>
    <t>028910380</t>
  </si>
  <si>
    <t>T - Bracket Extension</t>
  </si>
  <si>
    <t>028910385</t>
  </si>
  <si>
    <t>U - Bracket Extension</t>
  </si>
  <si>
    <t>028910390</t>
  </si>
  <si>
    <t>Extension</t>
  </si>
  <si>
    <t>028910395</t>
  </si>
  <si>
    <t>90 Degree Post Extension</t>
  </si>
  <si>
    <t>028910400</t>
  </si>
  <si>
    <t>Post S3 X 5.7</t>
  </si>
  <si>
    <t>028910405</t>
  </si>
  <si>
    <t>Post S4 X 9.5</t>
  </si>
  <si>
    <t>028910410</t>
  </si>
  <si>
    <t>Post S6 X 12.5</t>
  </si>
  <si>
    <t>028910415</t>
  </si>
  <si>
    <t>Post S6 X 17.25</t>
  </si>
  <si>
    <t>028910420</t>
  </si>
  <si>
    <t>Post S8 X 18.4</t>
  </si>
  <si>
    <t>028910425</t>
  </si>
  <si>
    <t>Post W10 X 19.0</t>
  </si>
  <si>
    <t>028910430</t>
  </si>
  <si>
    <t>Post W10 X 22.0</t>
  </si>
  <si>
    <t>028910435</t>
  </si>
  <si>
    <t>Post W10 X 26.0</t>
  </si>
  <si>
    <t>028910440</t>
  </si>
  <si>
    <t>Post W10 X 30.0</t>
  </si>
  <si>
    <t>028910445</t>
  </si>
  <si>
    <t>Post 3 Inch Standard Pipe</t>
  </si>
  <si>
    <t>028910450</t>
  </si>
  <si>
    <t>Post 4 Inch Standard Pipe</t>
  </si>
  <si>
    <t>028910455</t>
  </si>
  <si>
    <t>Post 5 Inch Standard Pipe</t>
  </si>
  <si>
    <t>028910460</t>
  </si>
  <si>
    <t>Post 6 Inch Standard Pipe</t>
  </si>
  <si>
    <t>028910465</t>
  </si>
  <si>
    <t>Post 8 Inch Standard Pipe</t>
  </si>
  <si>
    <t>028910470</t>
  </si>
  <si>
    <t>Sign Type B-1</t>
  </si>
  <si>
    <t>028910475</t>
  </si>
  <si>
    <t>Sign Type B-1, 48 inch x 48 inch</t>
  </si>
  <si>
    <t>028910480</t>
  </si>
  <si>
    <t>Sign Type B-2</t>
  </si>
  <si>
    <t>028910485</t>
  </si>
  <si>
    <t>Sign Type B-2, 60 inch x 18 inch</t>
  </si>
  <si>
    <t>028910490</t>
  </si>
  <si>
    <t>Sign Type B-2, 96 inch x 18 inch</t>
  </si>
  <si>
    <t>028910495</t>
  </si>
  <si>
    <t>Plywood Backing Panel</t>
  </si>
  <si>
    <t>028910500</t>
  </si>
  <si>
    <t>Sign Post Base (B7A) for S Section Steel Posts S3 x 5.7 and S4 x 9.5</t>
  </si>
  <si>
    <t>028910502</t>
  </si>
  <si>
    <t>Sign Post Base (B7B) for S Section Steel Posts S6 x 12.5, S6 x 17.2, and S8 x 18.4</t>
  </si>
  <si>
    <t>028910503</t>
  </si>
  <si>
    <t>Sign Post Base (B6C) for W Section Steel Posts</t>
  </si>
  <si>
    <t>028910505</t>
  </si>
  <si>
    <t>Sign Post Base (B7C) for W Section Steel Posts W10 x 19.0, W10 x 22.0, W10 x 26.0, and W10 x 30.0</t>
  </si>
  <si>
    <t>028910600</t>
  </si>
  <si>
    <t>Sign Type PW-1</t>
  </si>
  <si>
    <t>028910610</t>
  </si>
  <si>
    <t>Sign Type PW-1, 12 inch x 18 inch</t>
  </si>
  <si>
    <t>028910620</t>
  </si>
  <si>
    <t>Sign Type PW-1, 12 inch x 24 inch</t>
  </si>
  <si>
    <t>028910630</t>
  </si>
  <si>
    <t>Sign Type PW-1, 12 inch x 36 inch</t>
  </si>
  <si>
    <t>028910640</t>
  </si>
  <si>
    <t>Sign Type PW-1, 21 inch x 15 inch</t>
  </si>
  <si>
    <t>028910650</t>
  </si>
  <si>
    <t>Sign Type PW-1, 24 inch x 12 inch</t>
  </si>
  <si>
    <t>028910660</t>
  </si>
  <si>
    <t>Sign Type PW-1, 24 inch x 24 inch</t>
  </si>
  <si>
    <t>028910670</t>
  </si>
  <si>
    <t>Sign Type PW-1, 24 inch x 18 inch</t>
  </si>
  <si>
    <t>028910680</t>
  </si>
  <si>
    <t>Sign Type PW-1, 24 inch x 30 inch</t>
  </si>
  <si>
    <t>028910690</t>
  </si>
  <si>
    <t>Sign Type PW-1, 30 inch x 24 inch</t>
  </si>
  <si>
    <t>028910700</t>
  </si>
  <si>
    <t>Sign Type PW-1, 30 inch x 30 inch</t>
  </si>
  <si>
    <t>028910710</t>
  </si>
  <si>
    <t>Sign Type PW-1, 36 inch x 36 inch</t>
  </si>
  <si>
    <t>028910720</t>
  </si>
  <si>
    <t>Sign Type PW-1, 48 inch x 48 inch</t>
  </si>
  <si>
    <t>028910730</t>
  </si>
  <si>
    <t>Sign Type PW-2</t>
  </si>
  <si>
    <t>028910740</t>
  </si>
  <si>
    <t>Sign Type PW-2, 12 inch x 18 inch</t>
  </si>
  <si>
    <t>028910750</t>
  </si>
  <si>
    <t>Sign Type PW-2, 21 inch x 15 inch</t>
  </si>
  <si>
    <t>028910760</t>
  </si>
  <si>
    <t>Sign Type PW-2, 24 inch x 8 inch</t>
  </si>
  <si>
    <t>028910770</t>
  </si>
  <si>
    <t>Sign Type PW-2, 24 inch x 12 inch</t>
  </si>
  <si>
    <t>028910780</t>
  </si>
  <si>
    <t>Sign Type PW-2, 24 inch x 18 inch</t>
  </si>
  <si>
    <t>028910790</t>
  </si>
  <si>
    <t>Sign Type PW-2, 24 inch x 24 inch</t>
  </si>
  <si>
    <t>028910800</t>
  </si>
  <si>
    <t>Sign Type PW-2, 24 inch x 30 inch</t>
  </si>
  <si>
    <t>028910810</t>
  </si>
  <si>
    <t>Sign Type PW-2, 30 inch x 8 inch</t>
  </si>
  <si>
    <t>028910820</t>
  </si>
  <si>
    <t>Sign Tpe PW-2, 30 inch x 18 inch</t>
  </si>
  <si>
    <t>028910830</t>
  </si>
  <si>
    <t>Sign Type PW-2, 30 inch x 24 inch</t>
  </si>
  <si>
    <t>028910840</t>
  </si>
  <si>
    <t>Sign Type PW-2, 30 inch x 30 inch</t>
  </si>
  <si>
    <t>028910850</t>
  </si>
  <si>
    <t>Sign Type PW-2, 36 inch x 36 inch</t>
  </si>
  <si>
    <t>028910860</t>
  </si>
  <si>
    <t>Sign Type PW-2, 48 inch x 48 inch</t>
  </si>
  <si>
    <t>028910870</t>
  </si>
  <si>
    <t>Sign Type PW-2, 60 inch x 18 inch</t>
  </si>
  <si>
    <t>028910880</t>
  </si>
  <si>
    <t>Sign Type PW-2, 96 inch x 18 inch</t>
  </si>
  <si>
    <t>028910890</t>
  </si>
  <si>
    <t>028910900</t>
  </si>
  <si>
    <t>Sign Post Base (B7A) For S &amp; W Section Steel Posts</t>
  </si>
  <si>
    <t>028910910</t>
  </si>
  <si>
    <t>Sign Post Base (B7B) For S &amp; W Section Steel Posts</t>
  </si>
  <si>
    <t>028910920</t>
  </si>
  <si>
    <t>Sign Post Base (B7C) For S &amp; W Section Steel Posts</t>
  </si>
  <si>
    <t>028910930</t>
  </si>
  <si>
    <t>3/4 Inch Banding</t>
  </si>
  <si>
    <t>028910940</t>
  </si>
  <si>
    <t>3/4 Inch Strapping Buckle</t>
  </si>
  <si>
    <t>028910950</t>
  </si>
  <si>
    <t>3/4 Inch Threaded Strapping Bracket</t>
  </si>
  <si>
    <t>028910960</t>
  </si>
  <si>
    <t>3/4 Inch Universal Clamp</t>
  </si>
  <si>
    <t>028910970</t>
  </si>
  <si>
    <t>Large Corner Angle Channel</t>
  </si>
  <si>
    <t>028910980</t>
  </si>
  <si>
    <t>Clamp for Large Corner Angle</t>
  </si>
  <si>
    <t>028910990</t>
  </si>
  <si>
    <t>Standard Section Barrier Mounted Tubular Street Sign - Base (B5C) 20 SQ Ft or Less</t>
  </si>
  <si>
    <t>Traffic Signal System ______________</t>
  </si>
  <si>
    <t>02892002D</t>
  </si>
  <si>
    <t>028920030</t>
  </si>
  <si>
    <t>Traffic Counting Loop Detector</t>
  </si>
  <si>
    <t>02892003D</t>
  </si>
  <si>
    <t>028920047</t>
  </si>
  <si>
    <t>State Furnished Materials</t>
  </si>
  <si>
    <t>02892004D</t>
  </si>
  <si>
    <t>028920050</t>
  </si>
  <si>
    <t>Mast Arm Signal Pole (25 ft to 45 ft)</t>
  </si>
  <si>
    <t>028920052</t>
  </si>
  <si>
    <t>Mast Arm Signal Pole (50 ft to 65 ft)</t>
  </si>
  <si>
    <t>028920054</t>
  </si>
  <si>
    <t>Mast Arm Signal Pole (70 ft to 75 ft)</t>
  </si>
  <si>
    <t>028920056</t>
  </si>
  <si>
    <t>Dual Mast Arm Signal Pole</t>
  </si>
  <si>
    <t>028920058</t>
  </si>
  <si>
    <t>25 Ft Mast Arm</t>
  </si>
  <si>
    <t>02892005D</t>
  </si>
  <si>
    <t>028920060</t>
  </si>
  <si>
    <t>30 Ft Mast Arm</t>
  </si>
  <si>
    <t>028920062</t>
  </si>
  <si>
    <t>35 Ft Mast Arm</t>
  </si>
  <si>
    <t>028920064</t>
  </si>
  <si>
    <t>40 Ft Mast Arm</t>
  </si>
  <si>
    <t>028920066</t>
  </si>
  <si>
    <t>45 Ft Mast Arm</t>
  </si>
  <si>
    <t>028920068</t>
  </si>
  <si>
    <t>50 Ft Mast Arm</t>
  </si>
  <si>
    <t>02892006D</t>
  </si>
  <si>
    <t>028920070</t>
  </si>
  <si>
    <t>55 Ft Mast Arm</t>
  </si>
  <si>
    <t>028920072</t>
  </si>
  <si>
    <t>60 Ft Mast Arm</t>
  </si>
  <si>
    <t>028920074</t>
  </si>
  <si>
    <t>65 Ft Mast Arm</t>
  </si>
  <si>
    <t>028920076</t>
  </si>
  <si>
    <t>30 Ft Light Pole Extension with 10 Ft Arm</t>
  </si>
  <si>
    <t>028920078</t>
  </si>
  <si>
    <t>40 Ft Light Pole Extension with 10 Ft Arm</t>
  </si>
  <si>
    <t>028920079</t>
  </si>
  <si>
    <t>NEMA TS 2, Type 1, Size 5</t>
  </si>
  <si>
    <t>028920080</t>
  </si>
  <si>
    <t>Mast Arm Mounted Sign with Mounting Brackets</t>
  </si>
  <si>
    <t>028920081</t>
  </si>
  <si>
    <t>NEMA TS 2, Type 1, Size 6</t>
  </si>
  <si>
    <t>028920082</t>
  </si>
  <si>
    <t>2 Inch Diameter Anchor Bolt Set</t>
  </si>
  <si>
    <t>028920084</t>
  </si>
  <si>
    <t>Eight Phase Controller with M Cabinet</t>
  </si>
  <si>
    <t>028920086</t>
  </si>
  <si>
    <t>Eight Phase Controller with P-1 Cabinet</t>
  </si>
  <si>
    <t>028920088</t>
  </si>
  <si>
    <t>LED Module - Red Ball</t>
  </si>
  <si>
    <t>028920090</t>
  </si>
  <si>
    <t>LED Module - Yellow Ball</t>
  </si>
  <si>
    <t>028920092</t>
  </si>
  <si>
    <t>LED Module - Green Ball</t>
  </si>
  <si>
    <t>028920094</t>
  </si>
  <si>
    <t>LED Module - Red Arrow</t>
  </si>
  <si>
    <t>028920096</t>
  </si>
  <si>
    <t>LED Module - Yellow Arrow</t>
  </si>
  <si>
    <t>028920098</t>
  </si>
  <si>
    <t>LED Module - Green Arrow</t>
  </si>
  <si>
    <t>028920100</t>
  </si>
  <si>
    <t>LED Pedestrain Module</t>
  </si>
  <si>
    <t>028920102</t>
  </si>
  <si>
    <t>TS-2 Type 1-8 Phase P44 Cabinet</t>
  </si>
  <si>
    <t>028920104</t>
  </si>
  <si>
    <t>Video Detection Assemblies</t>
  </si>
  <si>
    <t>028920105</t>
  </si>
  <si>
    <t>Video Detection Cable 250 Ft. Spool</t>
  </si>
  <si>
    <t>028920106</t>
  </si>
  <si>
    <t>Video Detection Controller</t>
  </si>
  <si>
    <t>028920107</t>
  </si>
  <si>
    <t>Video Detection Cable 500 Ft. Spool</t>
  </si>
  <si>
    <t>028920108</t>
  </si>
  <si>
    <t>Video Detection Cable Assembly</t>
  </si>
  <si>
    <t>028920109</t>
  </si>
  <si>
    <t>Video Dectection Cable 750 Ft. Spool</t>
  </si>
  <si>
    <t>028920110</t>
  </si>
  <si>
    <t>Video Processing Module</t>
  </si>
  <si>
    <t>028920111</t>
  </si>
  <si>
    <t>Video Detection Cable 1000 Ft. Spool</t>
  </si>
  <si>
    <t>028920112</t>
  </si>
  <si>
    <t>State Force Account Labor for Eight Phase Controller</t>
  </si>
  <si>
    <t>028920114</t>
  </si>
  <si>
    <t>Fiber Optic Data Modem</t>
  </si>
  <si>
    <t>028920116</t>
  </si>
  <si>
    <t>Video Detection Modem</t>
  </si>
  <si>
    <t>028920118</t>
  </si>
  <si>
    <t>70 Ft. Mast Arm</t>
  </si>
  <si>
    <t>028920120</t>
  </si>
  <si>
    <t>75 Ft. Mast Arm</t>
  </si>
  <si>
    <t>028920122</t>
  </si>
  <si>
    <t>10 Ft. Ped. Pole</t>
  </si>
  <si>
    <t>028920124</t>
  </si>
  <si>
    <t>40 Ft. Freeway Light Pole</t>
  </si>
  <si>
    <t>028920126</t>
  </si>
  <si>
    <t>45 Ft. Camera Pole</t>
  </si>
  <si>
    <t>028920128</t>
  </si>
  <si>
    <t>1 inch Dia. X 36 inch Anchor Bolt with Hardware</t>
  </si>
  <si>
    <t>028920130</t>
  </si>
  <si>
    <t>1.5 inch Dia. X 54 inch Anchor Bolt with Hardware</t>
  </si>
  <si>
    <t>028920132</t>
  </si>
  <si>
    <t>Camera Mount, Video Detection with 46 inch Tube</t>
  </si>
  <si>
    <t>028920134</t>
  </si>
  <si>
    <t>480V Highway Luminaire</t>
  </si>
  <si>
    <t>028920136</t>
  </si>
  <si>
    <t>240V Highway Luminaire</t>
  </si>
  <si>
    <t>028920138</t>
  </si>
  <si>
    <t>40 Ft Highway Luminaire Pole (Fixed Base)</t>
  </si>
  <si>
    <t>028920140</t>
  </si>
  <si>
    <t>40 Ft Highway Luminaire Pole (Barrier Mount)</t>
  </si>
  <si>
    <t>028920142</t>
  </si>
  <si>
    <t>40 Ft Luminaire (For Straight Mast Arm Pole)</t>
  </si>
  <si>
    <t>028920144</t>
  </si>
  <si>
    <t>Vertical Luminaire Attachment</t>
  </si>
  <si>
    <t>028920146</t>
  </si>
  <si>
    <t>10 Ft Luminaire Arm</t>
  </si>
  <si>
    <t>028920148</t>
  </si>
  <si>
    <t>15 Ft Luminaire Arm</t>
  </si>
  <si>
    <t>028920150</t>
  </si>
  <si>
    <t>Priority System Control</t>
  </si>
  <si>
    <t>028920152</t>
  </si>
  <si>
    <t>Priority System Cable</t>
  </si>
  <si>
    <t>028920160</t>
  </si>
  <si>
    <t>Solar Traffic Counting Station</t>
  </si>
  <si>
    <t>02892040D</t>
  </si>
  <si>
    <t>________ PVC Conduit Schedule</t>
  </si>
  <si>
    <t>028930010</t>
  </si>
  <si>
    <t>24 inch Overhead Sign Structure</t>
  </si>
  <si>
    <t>028930015</t>
  </si>
  <si>
    <t>42 inch Overhead Sign Foundation</t>
  </si>
  <si>
    <t>028930020</t>
  </si>
  <si>
    <t>48 Inch Overhead Sign Foundation</t>
  </si>
  <si>
    <t>028930025</t>
  </si>
  <si>
    <t>60 Inch Overhead Sign Foundation</t>
  </si>
  <si>
    <t>028930060</t>
  </si>
  <si>
    <t>24 Inch Overhead Cantilever Sign Structure</t>
  </si>
  <si>
    <t>028930065</t>
  </si>
  <si>
    <t>30 Inch Overhead Cantilever Sign Structure</t>
  </si>
  <si>
    <t>028930070</t>
  </si>
  <si>
    <t>18 Inch Overhead Butterfly Sign Structure</t>
  </si>
  <si>
    <t>028930075</t>
  </si>
  <si>
    <t>24 Inch Overhead Butterfly Sign Structure</t>
  </si>
  <si>
    <t>028930080</t>
  </si>
  <si>
    <t>30 Inch Overhead Butterfly Sign Structure</t>
  </si>
  <si>
    <t>028930085</t>
  </si>
  <si>
    <t>24 Inch Overhead Single-Mast Span-Type Sign Structure</t>
  </si>
  <si>
    <t>028930090</t>
  </si>
  <si>
    <t>30 Inch Overhead Single-Mast Span-Type Sign Structure</t>
  </si>
  <si>
    <t>028930095</t>
  </si>
  <si>
    <t>24 Inch Overhead Double-Mast Span-Type Sign Structure</t>
  </si>
  <si>
    <t>028930100</t>
  </si>
  <si>
    <t>30 Inch Overhead Double-Mast Span-Type Sign Structure</t>
  </si>
  <si>
    <t>028930105</t>
  </si>
  <si>
    <t>24 Inch Overhead Dual Cantiever Sign Structure</t>
  </si>
  <si>
    <t>028930110</t>
  </si>
  <si>
    <t>30 Inch Overhead Dual Cantilever Sign Structure</t>
  </si>
  <si>
    <t>028930115</t>
  </si>
  <si>
    <t>24 Inch Overhead Span-Type Variable Message Sign (VMS) Structure</t>
  </si>
  <si>
    <t>028960010</t>
  </si>
  <si>
    <t>Boundary Survey and Survey Plat</t>
  </si>
  <si>
    <t>028960020</t>
  </si>
  <si>
    <t>Right-of-Way Marker</t>
  </si>
  <si>
    <t>029110010</t>
  </si>
  <si>
    <t>029110015</t>
  </si>
  <si>
    <t>1000sqft</t>
  </si>
  <si>
    <t>029120010</t>
  </si>
  <si>
    <t>029120020</t>
  </si>
  <si>
    <t>029120050</t>
  </si>
  <si>
    <t>Strip, Stockpile, and Spread Topsoil (Plan Quantity)</t>
  </si>
  <si>
    <t>029220010</t>
  </si>
  <si>
    <t>029220020</t>
  </si>
  <si>
    <t>Turf Seed</t>
  </si>
  <si>
    <t>029220030</t>
  </si>
  <si>
    <t>029220040</t>
  </si>
  <si>
    <t>029220050</t>
  </si>
  <si>
    <t>Broadcast Turf Seed</t>
  </si>
  <si>
    <t>029220060</t>
  </si>
  <si>
    <t>Turf Sod</t>
  </si>
  <si>
    <t>029310010</t>
  </si>
  <si>
    <t>Pole Planting</t>
  </si>
  <si>
    <t>029310020</t>
  </si>
  <si>
    <t>Willow Cutting</t>
  </si>
  <si>
    <t>029320010</t>
  </si>
  <si>
    <t>Plant - Tubeling</t>
  </si>
  <si>
    <t>029320030</t>
  </si>
  <si>
    <t>Plant - No. 1 Container</t>
  </si>
  <si>
    <t>029320050</t>
  </si>
  <si>
    <t>Plant - No. 5 Container</t>
  </si>
  <si>
    <t>02932006D</t>
  </si>
  <si>
    <t>Plant - No.  ____ Container</t>
  </si>
  <si>
    <t>029320070</t>
  </si>
  <si>
    <t>Plant - 1-1/4 inch Caliper</t>
  </si>
  <si>
    <t>02932008D</t>
  </si>
  <si>
    <t>Plant - ____ inch Caliper</t>
  </si>
  <si>
    <t>029320090</t>
  </si>
  <si>
    <t>Plant - 1-1/2 inch Caliper</t>
  </si>
  <si>
    <t>029320110</t>
  </si>
  <si>
    <t>Plant - 6 ft</t>
  </si>
  <si>
    <t>029320130</t>
  </si>
  <si>
    <t>Plant - 5 ft</t>
  </si>
  <si>
    <t>02932014D</t>
  </si>
  <si>
    <t>Plant - ____ ft</t>
  </si>
  <si>
    <t>029380010</t>
  </si>
  <si>
    <t>Tree Pruning</t>
  </si>
  <si>
    <t>029610010</t>
  </si>
  <si>
    <t>029610020</t>
  </si>
  <si>
    <t>029610025</t>
  </si>
  <si>
    <t>Rotomilling - 1 1/2 Inch</t>
  </si>
  <si>
    <t>029610030</t>
  </si>
  <si>
    <t>Rotomilling - 2 Inch</t>
  </si>
  <si>
    <t>029610040</t>
  </si>
  <si>
    <t>Rotomilling - 3 Inch</t>
  </si>
  <si>
    <t>029610050</t>
  </si>
  <si>
    <t>Rotomilling - 4 Inch</t>
  </si>
  <si>
    <t>029610060</t>
  </si>
  <si>
    <t>Rotomilling - 5 Inch</t>
  </si>
  <si>
    <t>029610070</t>
  </si>
  <si>
    <t>Rotomilling - 6 Inch</t>
  </si>
  <si>
    <t>029630010</t>
  </si>
  <si>
    <t>Profile Rotomilling</t>
  </si>
  <si>
    <t>029810010</t>
  </si>
  <si>
    <t>Grinding Pavement</t>
  </si>
  <si>
    <t>029820010</t>
  </si>
  <si>
    <t>Bridge Concrete Grinding</t>
  </si>
  <si>
    <t>031390010</t>
  </si>
  <si>
    <t>Concrete Bridge Deck Removal</t>
  </si>
  <si>
    <t>032110010</t>
  </si>
  <si>
    <t>Reinforcing Steel - Coated (Plan Quantity)</t>
  </si>
  <si>
    <t>032110015</t>
  </si>
  <si>
    <t>Reinforcing Steel - Coated</t>
  </si>
  <si>
    <t>032110020</t>
  </si>
  <si>
    <t xml:space="preserve">Reinforcing Steel </t>
  </si>
  <si>
    <t>032110025</t>
  </si>
  <si>
    <t>Reinforcing Steel (Plan Quantity)</t>
  </si>
  <si>
    <t>032110030</t>
  </si>
  <si>
    <t>Reinforcing Steel - Galvanized (Plan Quantity)</t>
  </si>
  <si>
    <t>032110035</t>
  </si>
  <si>
    <t>Reinforcing Steel - Stainless (Plan Quantity)</t>
  </si>
  <si>
    <t>033100011</t>
  </si>
  <si>
    <t>Structural Concrete</t>
  </si>
  <si>
    <t>03310001D</t>
  </si>
  <si>
    <t>033100020</t>
  </si>
  <si>
    <t>Concrete- Small Structure</t>
  </si>
  <si>
    <t>033100030</t>
  </si>
  <si>
    <t>Concrete Slope Protection</t>
  </si>
  <si>
    <t>033110010</t>
  </si>
  <si>
    <t>Joint Closure</t>
  </si>
  <si>
    <t>033380010</t>
  </si>
  <si>
    <t>Precast Substructure Elements</t>
  </si>
  <si>
    <t>033390010</t>
  </si>
  <si>
    <t>Precast Concrete Deck Panel</t>
  </si>
  <si>
    <t>033400010</t>
  </si>
  <si>
    <t>Precast Approach Slab</t>
  </si>
  <si>
    <t>033720010</t>
  </si>
  <si>
    <t>Thin Bonded Polymer Overlay, Type I</t>
  </si>
  <si>
    <t>033720020</t>
  </si>
  <si>
    <t>Thin Bonded Polymer Overlay, Type II</t>
  </si>
  <si>
    <t>033920010</t>
  </si>
  <si>
    <t>Penetrating Concrete Sealer</t>
  </si>
  <si>
    <t>033930010</t>
  </si>
  <si>
    <t>Concrete Healer/Sealer</t>
  </si>
  <si>
    <t>03412001D</t>
  </si>
  <si>
    <t xml:space="preserve">Prestressed Concrete Member __ft-___ inch Type ___ </t>
  </si>
  <si>
    <t>03412002D</t>
  </si>
  <si>
    <t xml:space="preserve">Prestressed Concrete Member ___ft- ___ inch Type ___ </t>
  </si>
  <si>
    <t>03412003D</t>
  </si>
  <si>
    <t>03412004D</t>
  </si>
  <si>
    <t xml:space="preserve">Prestressed Concrete Member ___ ft- ___ inch Type ___ </t>
  </si>
  <si>
    <t>035750010</t>
  </si>
  <si>
    <t>Flowable Fill</t>
  </si>
  <si>
    <t>036050010</t>
  </si>
  <si>
    <t>Approach Slab Jacking</t>
  </si>
  <si>
    <t>039240010</t>
  </si>
  <si>
    <t>Column Repair</t>
  </si>
  <si>
    <t>039240015</t>
  </si>
  <si>
    <t>Column Sealing</t>
  </si>
  <si>
    <t>039240020</t>
  </si>
  <si>
    <t>Pedestal Repair</t>
  </si>
  <si>
    <t>039240030</t>
  </si>
  <si>
    <t>Bent Cap Repair</t>
  </si>
  <si>
    <t>039240040</t>
  </si>
  <si>
    <t>Pier Cap Repair</t>
  </si>
  <si>
    <t>039240050</t>
  </si>
  <si>
    <t>Diaphragm Repair</t>
  </si>
  <si>
    <t>039240060</t>
  </si>
  <si>
    <t>Wingwall Repair</t>
  </si>
  <si>
    <t>039240070</t>
  </si>
  <si>
    <t>Abutment Backwall Repair</t>
  </si>
  <si>
    <t>039240080</t>
  </si>
  <si>
    <t>Beam End Repair</t>
  </si>
  <si>
    <t>039240085</t>
  </si>
  <si>
    <t>Parapet Surface Repair</t>
  </si>
  <si>
    <t>039240090</t>
  </si>
  <si>
    <t>Parapet Sealing</t>
  </si>
  <si>
    <t>039240100</t>
  </si>
  <si>
    <t>Deck Edge Repair</t>
  </si>
  <si>
    <t>039320010</t>
  </si>
  <si>
    <t>Concrete Slope Protection Repair</t>
  </si>
  <si>
    <t>039330010</t>
  </si>
  <si>
    <t>Parapet Modification</t>
  </si>
  <si>
    <t>039330020</t>
  </si>
  <si>
    <t>Parapet End Modification</t>
  </si>
  <si>
    <t>039340010</t>
  </si>
  <si>
    <t>Structural Pothole Patching</t>
  </si>
  <si>
    <t>05120001D</t>
  </si>
  <si>
    <t>Structural Steel  (Est. Qty _________lb.)</t>
  </si>
  <si>
    <t>051200020</t>
  </si>
  <si>
    <t>Structural Steel</t>
  </si>
  <si>
    <t>051250010</t>
  </si>
  <si>
    <t>Prefabricated Steel Truss Bridges</t>
  </si>
  <si>
    <t>058320010</t>
  </si>
  <si>
    <t>Expansion Joint</t>
  </si>
  <si>
    <t>058320020</t>
  </si>
  <si>
    <t>Expansion Joint Modification</t>
  </si>
  <si>
    <t>058350010</t>
  </si>
  <si>
    <t>Modular Expansion Joint</t>
  </si>
  <si>
    <t>058350020</t>
  </si>
  <si>
    <t>Modular Expansion Joint Modification</t>
  </si>
  <si>
    <t>071050010</t>
  </si>
  <si>
    <t>Waterproofing Membrane</t>
  </si>
  <si>
    <t>071110010</t>
  </si>
  <si>
    <t>Dampproofing (Est. Qty. ______________ sq.ft.)</t>
  </si>
  <si>
    <t>079210010</t>
  </si>
  <si>
    <t>Sealing Existing Concrete Slope Protection Joints</t>
  </si>
  <si>
    <t>079220010</t>
  </si>
  <si>
    <t>Relief Joint Crack Sealing</t>
  </si>
  <si>
    <t>099810010</t>
  </si>
  <si>
    <t>Concrete Coating (Est. Qty. ___________ sq.ft.)</t>
  </si>
  <si>
    <t>099910010</t>
  </si>
  <si>
    <t>Cleaning and Repainting Structural Steel</t>
  </si>
  <si>
    <t>099910020</t>
  </si>
  <si>
    <t>Cleaning and Overcoating Structural Steel</t>
  </si>
  <si>
    <t>134310010</t>
  </si>
  <si>
    <t>Precast Fiber Optic Vault 4 X 4 X 4 ft</t>
  </si>
  <si>
    <t>134310015</t>
  </si>
  <si>
    <t>Precast Fiber Optic Vault 4 X 4 X 6 ft</t>
  </si>
  <si>
    <t>135520010</t>
  </si>
  <si>
    <t>Ramp Meter Signals and Signing System</t>
  </si>
  <si>
    <t>135530010</t>
  </si>
  <si>
    <t>ATMS</t>
  </si>
  <si>
    <t>135530015</t>
  </si>
  <si>
    <t>One 2-Inch Conduit</t>
  </si>
  <si>
    <t>135530020</t>
  </si>
  <si>
    <t>Two 2-Inch Conduit</t>
  </si>
  <si>
    <t>135530025</t>
  </si>
  <si>
    <t>One 3-Inch Conduit</t>
  </si>
  <si>
    <t>135530030</t>
  </si>
  <si>
    <t>Two 3-Inch Conduit</t>
  </si>
  <si>
    <t>135530035</t>
  </si>
  <si>
    <t>135530040</t>
  </si>
  <si>
    <t>2D Conduit</t>
  </si>
  <si>
    <t>135530045</t>
  </si>
  <si>
    <t>4D Conduit</t>
  </si>
  <si>
    <t>135530050</t>
  </si>
  <si>
    <t>2-Inch Rigid Metal Conduit</t>
  </si>
  <si>
    <t>135530055</t>
  </si>
  <si>
    <t>Utility Coordination and Location</t>
  </si>
  <si>
    <t>135540010</t>
  </si>
  <si>
    <t>Polymer Concrete Junction Box</t>
  </si>
  <si>
    <t>135540020</t>
  </si>
  <si>
    <t>Polymer Concrete Junction Box, Tier 22, Type I</t>
  </si>
  <si>
    <t>135540030</t>
  </si>
  <si>
    <t>Polymer Concrete Junction Box, Tier 22, Type II</t>
  </si>
  <si>
    <t>135540040</t>
  </si>
  <si>
    <t>Polymer Concrete Junction Box, Tier 22, Type III</t>
  </si>
  <si>
    <t>135540050</t>
  </si>
  <si>
    <t>Polymer Concrete Junction Box, Tier 22, Type II (36 inch)</t>
  </si>
  <si>
    <t>135540060</t>
  </si>
  <si>
    <t>Polymer Concrete Junction Box, Tier 22, Type III (36 inch)</t>
  </si>
  <si>
    <t>135550015</t>
  </si>
  <si>
    <t>Pad-Mounted ATMS Cabinet</t>
  </si>
  <si>
    <t>135550020</t>
  </si>
  <si>
    <t>Pole-Mounted ATMS Cabinet</t>
  </si>
  <si>
    <t>135560010</t>
  </si>
  <si>
    <t>Closed Circuit Television (CCTV) Assembly System</t>
  </si>
  <si>
    <t>135560020</t>
  </si>
  <si>
    <t>Dome CCTV Camera W/PTZ</t>
  </si>
  <si>
    <t>135560030</t>
  </si>
  <si>
    <t>Pedestal Mount CCTV Camera W/PTZ</t>
  </si>
  <si>
    <t>135560040</t>
  </si>
  <si>
    <t>CCTV Camera Cable</t>
  </si>
  <si>
    <t>135560050</t>
  </si>
  <si>
    <t>CCTV Camera Data Port Assembly</t>
  </si>
  <si>
    <t>135560060</t>
  </si>
  <si>
    <t>Encoder (1 CH)</t>
  </si>
  <si>
    <t>135560070</t>
  </si>
  <si>
    <t>Decoder (1 CH)</t>
  </si>
  <si>
    <t>135560080</t>
  </si>
  <si>
    <t>45 Foot Camera Lowering CCTV Pole</t>
  </si>
  <si>
    <t>135560090</t>
  </si>
  <si>
    <t>60 Foot Camera Lowering CCTV Pole</t>
  </si>
  <si>
    <t>135560100</t>
  </si>
  <si>
    <t>80 Foot Camera Lowering CCTV Pole</t>
  </si>
  <si>
    <t>135560110</t>
  </si>
  <si>
    <t>45 Foot Non-Lowering CCTV Pole</t>
  </si>
  <si>
    <t>135560120</t>
  </si>
  <si>
    <t>Domed CCTV System</t>
  </si>
  <si>
    <t>135560130</t>
  </si>
  <si>
    <t>Positioner CCTV System</t>
  </si>
  <si>
    <t>135570010</t>
  </si>
  <si>
    <t>Variable Message Sign System</t>
  </si>
  <si>
    <t>135570020</t>
  </si>
  <si>
    <t>Variable Message Sign Installation</t>
  </si>
  <si>
    <t>135580010</t>
  </si>
  <si>
    <t>HAR Site Preparation</t>
  </si>
  <si>
    <t>135590010</t>
  </si>
  <si>
    <t>Non-Intrusive Detector (NID) System</t>
  </si>
  <si>
    <t>135610010</t>
  </si>
  <si>
    <t>ATMS Power Service</t>
  </si>
  <si>
    <t>135910010</t>
  </si>
  <si>
    <t>Traffic Monitoring Detector Loop</t>
  </si>
  <si>
    <t>135920010</t>
  </si>
  <si>
    <t>Installation of State Furnished RWIS-ESS</t>
  </si>
  <si>
    <t>135920020</t>
  </si>
  <si>
    <t>135920030</t>
  </si>
  <si>
    <t>RWIS-ESS Site Preparation</t>
  </si>
  <si>
    <t>135930010</t>
  </si>
  <si>
    <t>Weigh In Motion System</t>
  </si>
  <si>
    <t>135940010</t>
  </si>
  <si>
    <t>Fiber Optic Communication System</t>
  </si>
  <si>
    <t>135940020</t>
  </si>
  <si>
    <t>Serial (4) Port Server</t>
  </si>
  <si>
    <t>135940030</t>
  </si>
  <si>
    <t>Ethernet New Architecture</t>
  </si>
  <si>
    <t>135940040</t>
  </si>
  <si>
    <t>Industrial Ethernet Switch</t>
  </si>
  <si>
    <t>135940050</t>
  </si>
  <si>
    <t>6 Strand SMFO Cable</t>
  </si>
  <si>
    <t>135940060</t>
  </si>
  <si>
    <t>12 Strand SMFO Cable</t>
  </si>
  <si>
    <t>135940070</t>
  </si>
  <si>
    <t>24 Strand SMFO Cable</t>
  </si>
  <si>
    <t>135940080</t>
  </si>
  <si>
    <t>36 Strand SMFO Cable</t>
  </si>
  <si>
    <t>135940090</t>
  </si>
  <si>
    <t>48 Strand SMFO Cable</t>
  </si>
  <si>
    <t>135940100</t>
  </si>
  <si>
    <t>72 Strand SMFO Cable</t>
  </si>
  <si>
    <t>135940110</t>
  </si>
  <si>
    <t>144 Strand SMFO Cable</t>
  </si>
  <si>
    <t>135940120</t>
  </si>
  <si>
    <t>288 Strand SMFO Cable</t>
  </si>
  <si>
    <t>135940130</t>
  </si>
  <si>
    <t>Fusion Splice</t>
  </si>
  <si>
    <t>135940140</t>
  </si>
  <si>
    <t>Type A Splice Enclosure</t>
  </si>
  <si>
    <t>135940150</t>
  </si>
  <si>
    <t>Type B Splice Enclosure</t>
  </si>
  <si>
    <t>135940160</t>
  </si>
  <si>
    <t>6 SMFO Drop Cable Termination</t>
  </si>
  <si>
    <t>165250015</t>
  </si>
  <si>
    <t>Lighting Power Source</t>
  </si>
  <si>
    <t>Highway Lighting System ____________</t>
  </si>
  <si>
    <t>16525002D</t>
  </si>
  <si>
    <t>16525003D</t>
  </si>
  <si>
    <t>16525004D</t>
  </si>
  <si>
    <t>165260010</t>
  </si>
  <si>
    <t>Electrical Work Bridges</t>
  </si>
  <si>
    <t>gal/cy Borrow/Embankment</t>
  </si>
  <si>
    <t>HMA - 3/4 Inch</t>
  </si>
  <si>
    <t>Emulsified Asphalt CSS-1</t>
  </si>
  <si>
    <t>Asphalt Binder PG 64-34</t>
  </si>
  <si>
    <t>Asphalt Binder PG 70-28</t>
  </si>
  <si>
    <t>Asphalt Binder PG 70-34</t>
  </si>
  <si>
    <t>Asphalt Binder PG 64-28</t>
  </si>
  <si>
    <t>Right-of-Way Fence, Type D (Metal Post)</t>
  </si>
  <si>
    <t>Right-of-Way Fence, Type D (Wood Post)</t>
  </si>
  <si>
    <t>Right-of-Way Fence, Type A (Wood Post)</t>
  </si>
  <si>
    <t>Right-of-Way Fence, Type A (Metal Post)</t>
  </si>
  <si>
    <t>Right-of-Way Fence, Type B (Wood Post)</t>
  </si>
  <si>
    <t>Right-of-Way Fence, Type B (Metal Post)</t>
  </si>
  <si>
    <t>Right-of-Way Fence, Type E (Wood Post)</t>
  </si>
  <si>
    <t>Right-of-Way Fence, Type E (Metal Post)</t>
  </si>
  <si>
    <t>Right-of-Way Fence, Type F (Wood Post)</t>
  </si>
  <si>
    <t>Right-of-Way Fence, Type F (Metal Post)</t>
  </si>
  <si>
    <t>Right-of-Way Fence, Type G (Wood Post)</t>
  </si>
  <si>
    <t>Right-of-Way Fence, Type G (Metal Post)</t>
  </si>
  <si>
    <t>Emulsified Asphalt CSS-1H</t>
  </si>
  <si>
    <t>Emulsified Asphalt SS-1</t>
  </si>
  <si>
    <t>Emulsified Asphalt SS-1H</t>
  </si>
  <si>
    <t>Concrete Drainage Structure 5 ft to 7 ft deep - CB 9</t>
  </si>
  <si>
    <t>The pavement marking table is used to calculate gallons of paint needed. This table is to be used to sufficiently quantify paint which is typically a very small percentage of the project cost.</t>
  </si>
  <si>
    <t>The earthwork chart simply requires the length, width, and depth assumptions for the items. The water and oil charts just reference information from the other charts.</t>
  </si>
  <si>
    <t>Projected inflation rate awaiting final approval.</t>
  </si>
  <si>
    <t>Usually 1% of construction</t>
  </si>
  <si>
    <t>Usually 0.25% of construction</t>
  </si>
  <si>
    <t>Remove Existing Overhead Sign Structure</t>
  </si>
  <si>
    <t>No. Travel Lane Separation Lines</t>
  </si>
  <si>
    <t>This section calculates the extra area per foot of the side slope material due to the 2% cross-slope</t>
  </si>
  <si>
    <t>5%-7% for larger projects (over $5,000,000)</t>
  </si>
  <si>
    <t>1%-2% for larger projects (over $5,000,000)</t>
  </si>
  <si>
    <t>Assumed Yearly Inflation for Right of Way (%/yr) =</t>
  </si>
  <si>
    <t>This tab is to help document calculations and assumptions. Modify as needed for unit weights, application rates, and dimensions used for computing quantities. Verify all formulas.</t>
  </si>
  <si>
    <t>SMA</t>
  </si>
  <si>
    <t>Approximate Route Reference Mile Post (BEGIN) =</t>
  </si>
  <si>
    <t>Item List Summary</t>
  </si>
  <si>
    <t>This tab is to be used as a reference to UDOT's standard items. It is used to quickly identify standard item descriptions, item numbers, and units.</t>
  </si>
  <si>
    <t>Prints on 11x17 - adjust print layout after column/row adjustments are completed.</t>
  </si>
  <si>
    <t>Verify all print settings before printing for QC documentation. Do not print entire workbook otherwise Item List tab will print. Highlight the tabs you wish to print and print active sheets.</t>
  </si>
  <si>
    <t>You may update the list as needed.</t>
  </si>
  <si>
    <t>Incentive Calculator Tab</t>
  </si>
  <si>
    <t>This tab is used to calculate the contractor incentives. They are calculated in this tab, but the costs are reported on the Util-RW-Inc tab under Incentives.</t>
  </si>
  <si>
    <t>Verify and adjust as needed.</t>
  </si>
  <si>
    <t>Side Slope Area</t>
  </si>
  <si>
    <t xml:space="preserve">This tab is for construction item inflation. The green cells can be customized to meet individual project needs.  </t>
  </si>
  <si>
    <r>
      <t xml:space="preserve">A separate value can be entered for each year. The inflation factor is used to calculate the inflated cost from the </t>
    </r>
    <r>
      <rPr>
        <b/>
        <sz val="10"/>
        <rFont val="Arial"/>
        <family val="2"/>
      </rPr>
      <t xml:space="preserve">present </t>
    </r>
    <r>
      <rPr>
        <sz val="10"/>
        <rFont val="Arial"/>
        <family val="2"/>
      </rPr>
      <t>year to the assumed construction year.</t>
    </r>
  </si>
  <si>
    <t>As a general rule, green cells need to be customized for your project. Fill in all project information and percentages for PE, CE, etc.</t>
  </si>
  <si>
    <t>These tabs are broken into the major items of work. Under each tab list the appropriate items that make up that major item of work. Fill in quantity, unit cost, and method of measurement.</t>
  </si>
  <si>
    <t>You must select to pay for UTBC, GB, Borrow, and Granular Backfill Borrow by the TON or YD^3. Just delete the row on the PI-Roadway-Drainage tab that you do not want.</t>
  </si>
  <si>
    <t>Eligible Cost</t>
  </si>
  <si>
    <t>Private Utilities</t>
  </si>
  <si>
    <t>** Private Utility relocation costs are not eligible for federal reimbursement unless they own or have an easement for their right-of-way.                                                                                                                                                                                                                                                                                                                                                                                                                                                                                       ** Private Utility relocation costs are eligible for 50% reimbursement if facility is a State owned facility.</t>
  </si>
  <si>
    <t>State</t>
  </si>
  <si>
    <t>City</t>
  </si>
  <si>
    <t>County</t>
  </si>
  <si>
    <t>n/a</t>
  </si>
  <si>
    <t>Private Utilities Subtotal</t>
  </si>
  <si>
    <t>Utilities Not Eligible for Reimbursement</t>
  </si>
  <si>
    <t>Public Utilities</t>
  </si>
  <si>
    <t>** Public utility relocation costs are still eligible for federal funding.</t>
  </si>
  <si>
    <t>Public Utilities Subtotal</t>
  </si>
  <si>
    <t>Eligible Utilities Total</t>
  </si>
  <si>
    <t>Who owns this facility?        .</t>
  </si>
  <si>
    <t>Be Aware, Utilities are Killing Projects if they Cannot comply with the Buy America Requirements</t>
  </si>
  <si>
    <t>Other Construction Cost</t>
  </si>
  <si>
    <t>Current FY Year (Oct-Sept) =</t>
  </si>
  <si>
    <t xml:space="preserve">Funding Type: </t>
  </si>
  <si>
    <t>STP</t>
  </si>
  <si>
    <t>CMAQ</t>
  </si>
  <si>
    <t>TAP</t>
  </si>
  <si>
    <t>PROPOSED FEDERAL FUNDS REQUESTED</t>
  </si>
  <si>
    <t>Project Cost Estimate</t>
  </si>
  <si>
    <t>Concept Report Cost</t>
  </si>
  <si>
    <t>Work Prior to an Approved Environmental Document</t>
  </si>
  <si>
    <t>Environmental Document</t>
  </si>
  <si>
    <t>Explain:</t>
  </si>
  <si>
    <t>Utilities - Not Eligible for Federal Reimbursement</t>
  </si>
  <si>
    <r>
      <t xml:space="preserve">Information </t>
    </r>
    <r>
      <rPr>
        <b/>
        <u val="single"/>
        <sz val="10"/>
        <color indexed="63"/>
        <rFont val="Arial"/>
        <family val="2"/>
      </rPr>
      <t>Needs to be</t>
    </r>
    <r>
      <rPr>
        <b/>
        <sz val="10"/>
        <color indexed="63"/>
        <rFont val="Arial"/>
        <family val="2"/>
      </rPr>
      <t xml:space="preserve"> Provided</t>
    </r>
  </si>
  <si>
    <t>Other Contributing Funding Sources (i.e. Additional Sponsor Funds, Developer, etc.)</t>
  </si>
  <si>
    <t>Estimated Total Project Cost</t>
  </si>
  <si>
    <t>Required Matching Funds</t>
  </si>
  <si>
    <r>
      <t xml:space="preserve">Project Sponsors </t>
    </r>
    <r>
      <rPr>
        <b/>
        <i/>
        <u val="single"/>
        <sz val="12"/>
        <color indexed="9"/>
        <rFont val="Arial"/>
        <family val="2"/>
      </rPr>
      <t>TOTAL</t>
    </r>
    <r>
      <rPr>
        <b/>
        <sz val="12"/>
        <color indexed="9"/>
        <rFont val="Arial"/>
        <family val="2"/>
      </rPr>
      <t xml:space="preserve"> Estimated Investment</t>
    </r>
  </si>
  <si>
    <t>Information Needs to be Provided on Separate Spreadsheet</t>
  </si>
  <si>
    <t xml:space="preserve">Cost not Eligible for Federal Aid </t>
  </si>
  <si>
    <t>This field could be used for those non-construction type projects</t>
  </si>
  <si>
    <t>P.E. Subtotal =</t>
  </si>
  <si>
    <t>C.E. Subtotal =</t>
  </si>
  <si>
    <t>Right of Way Subtotal =</t>
  </si>
  <si>
    <t>Utilities Subtotal =</t>
  </si>
  <si>
    <t>Incentives Subtotal =</t>
  </si>
  <si>
    <t>Miscellaneous Subtotal =</t>
  </si>
  <si>
    <t xml:space="preserve">PROJECT NAME:  </t>
  </si>
  <si>
    <r>
      <t xml:space="preserve">Information </t>
    </r>
    <r>
      <rPr>
        <b/>
        <i/>
        <u val="single"/>
        <sz val="10"/>
        <rFont val="Arial"/>
        <family val="2"/>
      </rPr>
      <t>Needs to be</t>
    </r>
    <r>
      <rPr>
        <b/>
        <i/>
        <sz val="10"/>
        <rFont val="Arial"/>
        <family val="2"/>
      </rPr>
      <t xml:space="preserve"> Provided on Separate Spreadsheet</t>
    </r>
  </si>
  <si>
    <r>
      <t xml:space="preserve">Manually Input Data in </t>
    </r>
    <r>
      <rPr>
        <b/>
        <u val="single"/>
        <sz val="14"/>
        <rFont val="Arial"/>
        <family val="2"/>
      </rPr>
      <t>All</t>
    </r>
    <r>
      <rPr>
        <sz val="14"/>
        <rFont val="Arial"/>
        <family val="2"/>
      </rPr>
      <t xml:space="preserve"> Cells this color</t>
    </r>
  </si>
  <si>
    <t>Please Copy Non-Construction Cost Estimation Form(s) on this page</t>
  </si>
  <si>
    <t>Enter 2027 for STP &amp; CMAQ Projects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</si>
</sst>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
    <numFmt numFmtId="166" formatCode="0.0%"/>
    <numFmt numFmtId="167" formatCode="0.000"/>
    <numFmt numFmtId="168" formatCode="0.0"/>
    <numFmt numFmtId="169" formatCode="0.0000"/>
    <numFmt numFmtId="170" formatCode="#,###\ \f\t"/>
    <numFmt numFmtId="171" formatCode="_(* #,##0.0_);_(* \(#,##0.0\);_(* &quot;-&quot;??_);_(@_)"/>
    <numFmt numFmtId="172" formatCode="_(* #,##0_);_(* \(#,##0\);_(* &quot;-&quot;??_);_(@_)"/>
    <numFmt numFmtId="173" formatCode="&quot;$&quot;#,##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
    <numFmt numFmtId="180" formatCode="00000"/>
    <numFmt numFmtId="181" formatCode="000\-00\-0000"/>
    <numFmt numFmtId="182" formatCode="0########"/>
    <numFmt numFmtId="183" formatCode="00#######"/>
    <numFmt numFmtId="184" formatCode="00000000#"/>
    <numFmt numFmtId="185" formatCode="#,##0.000"/>
    <numFmt numFmtId="186" formatCode="#,##0.0000"/>
  </numFmts>
  <fonts count="92">
    <font>
      <sz val="10"/>
      <name val="Arial"/>
      <family val="0"/>
    </font>
    <font>
      <sz val="11"/>
      <color indexed="8"/>
      <name val="Calibri"/>
      <family val="2"/>
    </font>
    <font>
      <b/>
      <sz val="18"/>
      <name val="Arial"/>
      <family val="2"/>
    </font>
    <font>
      <b/>
      <sz val="12"/>
      <name val="Arial"/>
      <family val="2"/>
    </font>
    <font>
      <b/>
      <u val="single"/>
      <sz val="10"/>
      <name val="Arial"/>
      <family val="2"/>
    </font>
    <font>
      <u val="single"/>
      <sz val="7.5"/>
      <color indexed="12"/>
      <name val="Arial"/>
      <family val="2"/>
    </font>
    <font>
      <b/>
      <sz val="10"/>
      <name val="Arial"/>
      <family val="2"/>
    </font>
    <font>
      <sz val="10"/>
      <color indexed="12"/>
      <name val="Arial"/>
      <family val="2"/>
    </font>
    <font>
      <i/>
      <sz val="10"/>
      <name val="Arial"/>
      <family val="2"/>
    </font>
    <font>
      <b/>
      <sz val="14"/>
      <name val="Arial"/>
      <family val="2"/>
    </font>
    <font>
      <sz val="20"/>
      <name val="Arial"/>
      <family val="2"/>
    </font>
    <font>
      <sz val="12"/>
      <name val="Arial"/>
      <family val="2"/>
    </font>
    <font>
      <sz val="8"/>
      <name val="Tahoma"/>
      <family val="2"/>
    </font>
    <font>
      <b/>
      <i/>
      <sz val="12"/>
      <name val="Arial"/>
      <family val="2"/>
    </font>
    <font>
      <b/>
      <sz val="8"/>
      <name val="Tahoma"/>
      <family val="2"/>
    </font>
    <font>
      <sz val="10"/>
      <color indexed="63"/>
      <name val="Arial"/>
      <family val="2"/>
    </font>
    <font>
      <b/>
      <sz val="9"/>
      <name val="Tahoma"/>
      <family val="2"/>
    </font>
    <font>
      <b/>
      <i/>
      <sz val="14"/>
      <color indexed="47"/>
      <name val="Arial"/>
      <family val="2"/>
    </font>
    <font>
      <b/>
      <i/>
      <sz val="16"/>
      <color indexed="47"/>
      <name val="Arial"/>
      <family val="2"/>
    </font>
    <font>
      <b/>
      <sz val="12"/>
      <color indexed="63"/>
      <name val="Arial"/>
      <family val="2"/>
    </font>
    <font>
      <b/>
      <i/>
      <sz val="12"/>
      <color indexed="63"/>
      <name val="Arial"/>
      <family val="2"/>
    </font>
    <font>
      <b/>
      <sz val="10"/>
      <color indexed="63"/>
      <name val="Arial"/>
      <family val="2"/>
    </font>
    <font>
      <u val="single"/>
      <sz val="12"/>
      <color indexed="63"/>
      <name val="Arial"/>
      <family val="2"/>
    </font>
    <font>
      <sz val="12"/>
      <color indexed="63"/>
      <name val="Arial"/>
      <family val="2"/>
    </font>
    <font>
      <u val="single"/>
      <sz val="10"/>
      <color indexed="63"/>
      <name val="Arial"/>
      <family val="2"/>
    </font>
    <font>
      <sz val="8"/>
      <color indexed="63"/>
      <name val="Arial"/>
      <family val="2"/>
    </font>
    <font>
      <b/>
      <u val="single"/>
      <sz val="10"/>
      <color indexed="63"/>
      <name val="Arial"/>
      <family val="2"/>
    </font>
    <font>
      <b/>
      <i/>
      <sz val="12"/>
      <color indexed="47"/>
      <name val="Arial"/>
      <family val="2"/>
    </font>
    <font>
      <sz val="20"/>
      <color indexed="47"/>
      <name val="Arial"/>
      <family val="2"/>
    </font>
    <font>
      <sz val="9"/>
      <name val="Tahoma"/>
      <family val="2"/>
    </font>
    <font>
      <sz val="20"/>
      <color indexed="9"/>
      <name val="Arial"/>
      <family val="2"/>
    </font>
    <font>
      <b/>
      <u val="single"/>
      <sz val="12"/>
      <name val="Arial"/>
      <family val="2"/>
    </font>
    <font>
      <b/>
      <sz val="14"/>
      <color indexed="47"/>
      <name val="Arial"/>
      <family val="2"/>
    </font>
    <font>
      <u val="single"/>
      <sz val="16"/>
      <color indexed="12"/>
      <name val="Arial"/>
      <family val="2"/>
    </font>
    <font>
      <sz val="12"/>
      <color indexed="47"/>
      <name val="Arial"/>
      <family val="2"/>
    </font>
    <font>
      <u val="single"/>
      <sz val="10"/>
      <color indexed="12"/>
      <name val="Arial"/>
      <family val="2"/>
    </font>
    <font>
      <b/>
      <sz val="12"/>
      <name val="Times New Roman"/>
      <family val="1"/>
    </font>
    <font>
      <b/>
      <sz val="12"/>
      <color indexed="9"/>
      <name val="Arial"/>
      <family val="2"/>
    </font>
    <font>
      <b/>
      <i/>
      <u val="single"/>
      <sz val="12"/>
      <color indexed="9"/>
      <name val="Arial"/>
      <family val="2"/>
    </font>
    <font>
      <b/>
      <i/>
      <sz val="10"/>
      <name val="Arial"/>
      <family val="2"/>
    </font>
    <font>
      <u val="single"/>
      <sz val="12"/>
      <name val="Arial"/>
      <family val="2"/>
    </font>
    <font>
      <b/>
      <i/>
      <u val="single"/>
      <sz val="10"/>
      <name val="Arial"/>
      <family val="2"/>
    </font>
    <font>
      <u val="single"/>
      <sz val="10"/>
      <name val="Arial"/>
      <family val="2"/>
    </font>
    <font>
      <sz val="14"/>
      <name val="Arial"/>
      <family val="2"/>
    </font>
    <font>
      <b/>
      <u val="single"/>
      <sz val="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10"/>
      <name val="Arial"/>
      <family val="2"/>
    </font>
    <font>
      <b/>
      <sz val="11"/>
      <color indexed="8"/>
      <name val="Calibri"/>
      <family val="2"/>
    </font>
    <font>
      <sz val="10"/>
      <color indexed="8"/>
      <name val="Arial"/>
      <family val="2"/>
    </font>
    <font>
      <sz val="10"/>
      <color indexed="9"/>
      <name val="Arial"/>
      <family val="2"/>
    </font>
    <font>
      <b/>
      <sz val="12"/>
      <color indexed="8"/>
      <name val="Arial"/>
      <family val="2"/>
    </font>
    <font>
      <b/>
      <sz val="10"/>
      <color indexed="9"/>
      <name val="Arial"/>
      <family val="2"/>
    </font>
    <font>
      <b/>
      <i/>
      <sz val="10"/>
      <color indexed="10"/>
      <name val="Arial"/>
      <family val="2"/>
    </font>
    <font>
      <b/>
      <sz val="16"/>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1"/>
      <color theme="1"/>
      <name val="Calibri"/>
      <family val="2"/>
    </font>
    <font>
      <sz val="10"/>
      <color theme="1"/>
      <name val="Arial"/>
      <family val="2"/>
    </font>
    <font>
      <sz val="10"/>
      <color theme="0"/>
      <name val="Arial"/>
      <family val="2"/>
    </font>
    <font>
      <b/>
      <sz val="12"/>
      <color theme="0"/>
      <name val="Arial"/>
      <family val="2"/>
    </font>
    <font>
      <b/>
      <sz val="12"/>
      <color theme="1"/>
      <name val="Arial"/>
      <family val="2"/>
    </font>
    <font>
      <b/>
      <i/>
      <sz val="10"/>
      <color rgb="FFFF0000"/>
      <name val="Arial"/>
      <family val="2"/>
    </font>
    <font>
      <b/>
      <sz val="10"/>
      <color theme="0"/>
      <name val="Arial"/>
      <family val="2"/>
    </font>
    <font>
      <b/>
      <sz val="16"/>
      <color rgb="FFFF0000"/>
      <name val="Arial"/>
      <family val="2"/>
    </font>
    <font>
      <b/>
      <sz val="8"/>
      <name val="Arial"/>
      <family val="2"/>
    </font>
  </fonts>
  <fills count="7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63"/>
        <bgColor indexed="64"/>
      </patternFill>
    </fill>
    <fill>
      <patternFill patternType="solid">
        <fgColor indexed="51"/>
        <bgColor indexed="64"/>
      </patternFill>
    </fill>
    <fill>
      <patternFill patternType="solid">
        <fgColor indexed="22"/>
        <bgColor indexed="64"/>
      </patternFill>
    </fill>
    <fill>
      <patternFill patternType="solid">
        <fgColor indexed="51"/>
        <bgColor indexed="64"/>
      </patternFill>
    </fill>
    <fill>
      <patternFill patternType="solid">
        <fgColor indexed="14"/>
        <bgColor indexed="64"/>
      </patternFill>
    </fill>
    <fill>
      <patternFill patternType="solid">
        <fgColor indexed="63"/>
        <bgColor indexed="64"/>
      </patternFill>
    </fill>
    <fill>
      <patternFill patternType="solid">
        <fgColor indexed="9"/>
        <bgColor indexed="64"/>
      </patternFill>
    </fill>
    <fill>
      <patternFill patternType="lightDown">
        <fgColor indexed="9"/>
        <bgColor indexed="22"/>
      </patternFill>
    </fill>
    <fill>
      <patternFill patternType="solid">
        <fgColor indexed="14"/>
        <bgColor indexed="64"/>
      </patternFill>
    </fill>
    <fill>
      <gradientFill degree="90">
        <stop position="0">
          <color theme="0"/>
        </stop>
        <stop position="1">
          <color rgb="FFFF00FF"/>
        </stop>
      </gradientFill>
    </fill>
    <fill>
      <gradientFill degree="90">
        <stop position="0">
          <color theme="0"/>
        </stop>
        <stop position="1">
          <color rgb="FFFF00FF"/>
        </stop>
      </gradientFill>
    </fill>
    <fill>
      <gradientFill degree="90">
        <stop position="0">
          <color theme="0"/>
        </stop>
        <stop position="1">
          <color rgb="FFFF00FF"/>
        </stop>
      </gradientFill>
    </fill>
    <fill>
      <patternFill patternType="solid">
        <fgColor indexed="62"/>
        <bgColor indexed="64"/>
      </patternFill>
    </fill>
    <fill>
      <patternFill patternType="solid">
        <fgColor theme="0" tint="-0.1499900072813034"/>
        <bgColor indexed="64"/>
      </patternFill>
    </fill>
    <fill>
      <patternFill patternType="solid">
        <fgColor theme="3" tint="-0.24997000396251678"/>
        <bgColor indexed="64"/>
      </patternFill>
    </fill>
    <fill>
      <patternFill patternType="solid">
        <fgColor theme="6" tint="-0.24997000396251678"/>
        <bgColor indexed="64"/>
      </patternFill>
    </fill>
    <fill>
      <patternFill patternType="solid">
        <fgColor rgb="FFFFFF00"/>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10"/>
        <bgColor indexed="64"/>
      </patternFill>
    </fill>
    <fill>
      <patternFill patternType="solid">
        <fgColor indexed="10"/>
        <bgColor indexed="64"/>
      </patternFill>
    </fill>
    <fill>
      <patternFill patternType="solid">
        <fgColor rgb="FFFFC000"/>
        <bgColor indexed="64"/>
      </patternFill>
    </fill>
    <fill>
      <patternFill patternType="solid">
        <fgColor rgb="FFFFC000"/>
        <bgColor indexed="64"/>
      </patternFill>
    </fill>
    <fill>
      <patternFill patternType="solid">
        <fgColor rgb="FF002060"/>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theme="3" tint="0.39998000860214233"/>
        <bgColor indexed="64"/>
      </patternFill>
    </fill>
    <fill>
      <patternFill patternType="solid">
        <fgColor theme="3" tint="0.39998000860214233"/>
        <bgColor indexed="64"/>
      </patternFill>
    </fill>
    <fill>
      <patternFill patternType="solid">
        <fgColor theme="5" tint="-0.24997000396251678"/>
        <bgColor indexed="64"/>
      </patternFill>
    </fill>
    <fill>
      <patternFill patternType="solid">
        <fgColor theme="0" tint="-0.04997999966144562"/>
        <bgColor indexed="64"/>
      </patternFill>
    </fill>
    <fill>
      <patternFill patternType="solid">
        <fgColor rgb="FFFFC000"/>
        <bgColor indexed="64"/>
      </patternFill>
    </fill>
    <fill>
      <patternFill patternType="solid">
        <fgColor indexed="10"/>
        <bgColor indexed="64"/>
      </patternFill>
    </fill>
    <fill>
      <patternFill patternType="solid">
        <fgColor indexed="13"/>
        <bgColor indexed="64"/>
      </patternFill>
    </fill>
    <fill>
      <patternFill patternType="solid">
        <fgColor rgb="FF0070C0"/>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style="thin"/>
      <right style="thin"/>
      <top style="thin"/>
      <bottom style="thin"/>
    </border>
    <border>
      <left style="thin"/>
      <right style="thin"/>
      <top style="thick"/>
      <bottom style="thin"/>
    </border>
    <border>
      <left/>
      <right style="thick"/>
      <top style="thick"/>
      <bottom style="thin"/>
    </border>
    <border>
      <left/>
      <right style="thick"/>
      <top style="thin"/>
      <bottom style="thin"/>
    </border>
    <border>
      <left style="thin"/>
      <right style="thin"/>
      <top style="thin"/>
      <bottom style="double"/>
    </border>
    <border>
      <left/>
      <right style="thick"/>
      <top style="thin"/>
      <bottom style="double"/>
    </border>
    <border>
      <left/>
      <right style="thick"/>
      <top/>
      <bottom style="thick"/>
    </border>
    <border>
      <left/>
      <right style="thick"/>
      <top style="thin"/>
      <bottom/>
    </border>
    <border>
      <left style="thin"/>
      <right style="thin"/>
      <top style="thin"/>
      <bottom/>
    </border>
    <border>
      <left/>
      <right style="thin"/>
      <top style="thin"/>
      <bottom style="double"/>
    </border>
    <border>
      <left/>
      <right/>
      <top/>
      <bottom style="thick"/>
    </border>
    <border>
      <left/>
      <right style="thick"/>
      <top/>
      <bottom style="thin"/>
    </border>
    <border>
      <left style="thin"/>
      <right style="thin"/>
      <top/>
      <bottom style="thin"/>
    </border>
    <border>
      <left/>
      <right/>
      <top/>
      <bottom style="medium"/>
    </border>
    <border>
      <left style="thin"/>
      <right style="thick"/>
      <top style="thin"/>
      <bottom style="thin"/>
    </border>
    <border>
      <left style="medium"/>
      <right style="thin"/>
      <top style="thin"/>
      <bottom style="thin"/>
    </border>
    <border>
      <left style="double"/>
      <right style="thin"/>
      <top style="thin"/>
      <bottom style="medium"/>
    </border>
    <border>
      <left style="double"/>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double"/>
      <right>
        <color indexed="63"/>
      </right>
      <top>
        <color indexed="63"/>
      </top>
      <bottom style="medium"/>
    </border>
    <border>
      <left/>
      <right style="thin"/>
      <top style="thin"/>
      <bottom/>
    </border>
    <border>
      <left>
        <color indexed="63"/>
      </left>
      <right>
        <color indexed="63"/>
      </right>
      <top style="double"/>
      <bottom style="thick"/>
    </border>
    <border>
      <left style="thin"/>
      <right>
        <color indexed="63"/>
      </right>
      <top>
        <color indexed="63"/>
      </top>
      <bottom style="thick"/>
    </border>
    <border>
      <left style="thin"/>
      <right style="medium"/>
      <top style="thin"/>
      <bottom style="thin"/>
    </border>
    <border>
      <left/>
      <right style="thick"/>
      <top style="double"/>
      <bottom style="thick"/>
    </border>
    <border>
      <left/>
      <right style="thick"/>
      <top/>
      <bottom/>
    </border>
    <border>
      <left style="thin"/>
      <right style="thick"/>
      <top>
        <color indexed="63"/>
      </top>
      <bottom style="thin"/>
    </border>
    <border>
      <left style="thin"/>
      <right style="thick"/>
      <top style="thin"/>
      <bottom style="medium"/>
    </border>
    <border>
      <left style="medium"/>
      <right style="medium"/>
      <top>
        <color indexed="63"/>
      </top>
      <bottom style="medium"/>
    </border>
    <border>
      <left style="thin"/>
      <right style="thin"/>
      <top/>
      <bottom/>
    </border>
    <border>
      <left style="thick"/>
      <right style="thin"/>
      <top style="thick"/>
      <bottom style="medium"/>
    </border>
    <border>
      <left style="thin"/>
      <right style="thin"/>
      <top style="thick"/>
      <bottom style="medium"/>
    </border>
    <border>
      <left/>
      <right style="thick"/>
      <top style="thick"/>
      <bottom style="medium"/>
    </border>
    <border>
      <left/>
      <right style="thick"/>
      <top style="medium"/>
      <bottom style="thin"/>
    </border>
    <border>
      <left style="thin"/>
      <right style="thin"/>
      <top style="double"/>
      <bottom style="thick"/>
    </border>
    <border>
      <left style="thin"/>
      <right style="thin"/>
      <top/>
      <bottom style="thick"/>
    </border>
    <border>
      <left/>
      <right style="thin"/>
      <top/>
      <bottom/>
    </border>
    <border>
      <left style="thin"/>
      <right>
        <color indexed="63"/>
      </right>
      <top style="double"/>
      <bottom style="medium"/>
    </border>
    <border>
      <left>
        <color indexed="63"/>
      </left>
      <right>
        <color indexed="63"/>
      </right>
      <top style="double"/>
      <bottom style="medium"/>
    </border>
    <border>
      <left style="thin"/>
      <right style="thin"/>
      <top style="double"/>
      <bottom style="medium"/>
    </border>
    <border>
      <left/>
      <right style="thick"/>
      <top style="double"/>
      <bottom style="medium"/>
    </border>
    <border>
      <left style="medium"/>
      <right style="medium"/>
      <top style="thin"/>
      <bottom style="thin"/>
    </border>
    <border>
      <left style="thin"/>
      <right style="medium"/>
      <top/>
      <bottom style="thin"/>
    </border>
    <border>
      <left/>
      <right style="thin"/>
      <top style="thin"/>
      <bottom style="thin"/>
    </border>
    <border>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double"/>
    </border>
    <border>
      <left/>
      <right/>
      <top/>
      <bottom style="double"/>
    </border>
    <border>
      <left>
        <color indexed="63"/>
      </left>
      <right style="medium"/>
      <top>
        <color indexed="63"/>
      </top>
      <bottom style="double"/>
    </border>
    <border>
      <left style="medium"/>
      <right style="medium"/>
      <top style="thin"/>
      <bottom style="double"/>
    </border>
    <border>
      <left style="medium"/>
      <right>
        <color indexed="63"/>
      </right>
      <top>
        <color indexed="63"/>
      </top>
      <bottom style="medium"/>
    </border>
    <border>
      <left/>
      <right style="medium"/>
      <top/>
      <bottom style="medium"/>
    </border>
    <border>
      <left>
        <color indexed="63"/>
      </left>
      <right style="double"/>
      <top>
        <color indexed="63"/>
      </top>
      <bottom>
        <color indexed="63"/>
      </bottom>
    </border>
    <border>
      <left style="medium"/>
      <right style="thin"/>
      <top style="medium"/>
      <bottom style="thin"/>
    </border>
    <border>
      <left style="medium"/>
      <right style="medium"/>
      <top/>
      <bottom style="thin"/>
    </border>
    <border>
      <left style="medium"/>
      <right style="medium"/>
      <top style="medium"/>
      <bottom style="medium"/>
    </border>
    <border>
      <left/>
      <right style="thin"/>
      <top>
        <color indexed="63"/>
      </top>
      <bottom style="thin"/>
    </border>
    <border>
      <left style="medium"/>
      <right style="thin"/>
      <top/>
      <bottom style="thin"/>
    </border>
    <border>
      <left/>
      <right style="thin"/>
      <top style="thin"/>
      <bottom style="medium"/>
    </border>
    <border>
      <left style="medium"/>
      <right style="thin"/>
      <top/>
      <bottom style="medium"/>
    </border>
    <border>
      <left/>
      <right style="medium"/>
      <top/>
      <bottom style="thin"/>
    </border>
    <border>
      <left style="medium"/>
      <right style="medium"/>
      <top style="thin"/>
      <bottom style="medium"/>
    </border>
    <border>
      <left style="thin"/>
      <right style="medium"/>
      <top style="thin"/>
      <bottom/>
    </border>
    <border>
      <left style="medium"/>
      <right style="thin"/>
      <top style="thin"/>
      <bottom/>
    </border>
    <border>
      <left/>
      <right style="medium"/>
      <top style="thin"/>
      <bottom/>
    </border>
    <border>
      <left style="medium"/>
      <right style="medium"/>
      <top style="thin"/>
      <bottom/>
    </border>
    <border>
      <left/>
      <right style="thin"/>
      <top style="double"/>
      <bottom style="medium"/>
    </border>
    <border>
      <left style="thin"/>
      <right style="medium"/>
      <top style="double"/>
      <bottom style="medium"/>
    </border>
    <border>
      <left style="medium"/>
      <right style="thin"/>
      <top style="double"/>
      <bottom style="medium"/>
    </border>
    <border>
      <left/>
      <right style="medium"/>
      <top style="double"/>
      <bottom style="medium"/>
    </border>
    <border>
      <left style="medium"/>
      <right style="medium"/>
      <top style="double"/>
      <bottom style="medium"/>
    </border>
    <border>
      <left style="medium"/>
      <right/>
      <top style="double"/>
      <bottom style="medium"/>
    </border>
    <border>
      <left style="thick"/>
      <right style="thin"/>
      <top/>
      <bottom/>
    </border>
    <border>
      <left style="thick"/>
      <right style="thin"/>
      <top style="thin"/>
      <bottom style="thin"/>
    </border>
    <border>
      <left style="thick"/>
      <right style="thin"/>
      <top/>
      <bottom style="thick"/>
    </border>
    <border>
      <left style="thick"/>
      <right style="thin"/>
      <top style="thick"/>
      <bottom style="thin"/>
    </border>
    <border>
      <left style="thick"/>
      <right style="thin"/>
      <top/>
      <bottom style="thin"/>
    </border>
    <border>
      <left style="thick"/>
      <right style="thin"/>
      <top style="double"/>
      <bottom style="thick"/>
    </border>
    <border>
      <left style="thick"/>
      <right>
        <color indexed="63"/>
      </right>
      <top style="double"/>
      <bottom style="thick"/>
    </border>
    <border>
      <left style="thick"/>
      <right style="thin"/>
      <top style="thin"/>
      <bottom style="medium"/>
    </border>
    <border>
      <left style="thick"/>
      <right style="thin"/>
      <top style="thin"/>
      <bottom/>
    </border>
    <border>
      <left style="thick"/>
      <right style="thin"/>
      <top style="thin"/>
      <bottom style="double"/>
    </border>
    <border>
      <left style="thin"/>
      <right/>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style="thin"/>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top/>
      <bottom style="thin"/>
    </border>
    <border>
      <left style="thin"/>
      <right style="thin"/>
      <top/>
      <bottom style="medium"/>
    </border>
    <border>
      <left>
        <color indexed="63"/>
      </left>
      <right>
        <color indexed="63"/>
      </right>
      <top style="thin"/>
      <bottom style="double"/>
    </border>
    <border>
      <left style="thin"/>
      <right>
        <color indexed="63"/>
      </right>
      <top>
        <color indexed="63"/>
      </top>
      <bottom>
        <color indexed="63"/>
      </bottom>
    </border>
    <border>
      <left style="medium"/>
      <right style="thin"/>
      <top style="thin"/>
      <bottom style="double"/>
    </border>
    <border>
      <left/>
      <right style="medium"/>
      <top style="thin"/>
      <bottom style="double"/>
    </border>
    <border>
      <left style="medium"/>
      <right style="thin"/>
      <top style="medium"/>
      <bottom/>
    </border>
    <border>
      <left style="thin"/>
      <right style="thin"/>
      <top style="medium"/>
      <bottom/>
    </border>
    <border>
      <left/>
      <right/>
      <top style="medium"/>
      <bottom style="medium"/>
    </border>
    <border>
      <left>
        <color indexed="63"/>
      </left>
      <right style="medium"/>
      <top style="medium"/>
      <bottom style="medium"/>
    </border>
    <border>
      <left/>
      <right style="medium"/>
      <top style="medium"/>
      <bottom style="thin"/>
    </border>
    <border>
      <left style="thin"/>
      <right style="medium"/>
      <top style="medium"/>
      <bottom style="medium"/>
    </border>
    <border>
      <left style="medium"/>
      <right/>
      <top style="medium"/>
      <bottom style="medium"/>
    </border>
    <border>
      <left style="thin">
        <color theme="0"/>
      </left>
      <right style="thin">
        <color theme="0"/>
      </right>
      <top style="medium">
        <color theme="0"/>
      </top>
      <bottom style="medium">
        <color theme="0"/>
      </bottom>
    </border>
    <border>
      <left style="medium"/>
      <right/>
      <top style="thin"/>
      <bottom style="thin"/>
    </border>
    <border>
      <left style="medium"/>
      <right/>
      <top style="thin"/>
      <bottom/>
    </border>
    <border>
      <left style="medium"/>
      <right>
        <color indexed="63"/>
      </right>
      <top style="thin"/>
      <bottom style="medium"/>
    </border>
    <border>
      <left/>
      <right/>
      <top style="thin"/>
      <bottom/>
    </border>
    <border>
      <left style="medium"/>
      <right style="medium"/>
      <top style="double"/>
      <bottom style="thin"/>
    </border>
    <border>
      <left style="thin"/>
      <right style="medium"/>
      <top style="medium"/>
      <bottom style="thin"/>
    </border>
    <border>
      <left style="medium"/>
      <right style="medium"/>
      <top/>
      <bottom/>
    </border>
    <border>
      <left>
        <color indexed="63"/>
      </left>
      <right style="thin"/>
      <top style="medium"/>
      <bottom style="medium"/>
    </border>
    <border>
      <left style="medium"/>
      <right/>
      <top style="medium"/>
      <bottom style="thin"/>
    </border>
    <border>
      <left>
        <color indexed="63"/>
      </left>
      <right>
        <color indexed="63"/>
      </right>
      <top style="medium"/>
      <bottom style="thin"/>
    </border>
    <border>
      <left style="medium"/>
      <right style="medium"/>
      <top style="medium"/>
      <bottom/>
    </border>
    <border>
      <left/>
      <right style="thin"/>
      <top style="medium"/>
      <bottom style="thin"/>
    </border>
    <border>
      <left style="thin"/>
      <right/>
      <top style="medium"/>
      <bottom style="thin"/>
    </border>
    <border>
      <left/>
      <right/>
      <top style="thick"/>
      <bottom/>
    </border>
    <border>
      <left style="thin"/>
      <right/>
      <top style="medium"/>
      <bottom style="medium"/>
    </border>
    <border>
      <left style="thin"/>
      <right>
        <color indexed="63"/>
      </right>
      <top style="thin"/>
      <bottom style="double"/>
    </border>
    <border>
      <left style="medium"/>
      <right style="thin"/>
      <top/>
      <bottom/>
    </border>
    <border>
      <left style="thin"/>
      <right>
        <color indexed="63"/>
      </right>
      <top style="medium"/>
      <bottom/>
    </border>
    <border>
      <left>
        <color indexed="63"/>
      </left>
      <right style="thin"/>
      <top style="medium"/>
      <bottom/>
    </border>
    <border>
      <left style="thin"/>
      <right>
        <color indexed="63"/>
      </right>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double"/>
    </border>
    <border>
      <left style="thin"/>
      <right style="medium"/>
      <top style="medium"/>
      <bottom/>
    </border>
    <border>
      <left style="thin"/>
      <right style="medium"/>
      <top/>
      <bottom/>
    </border>
    <border>
      <left style="double"/>
      <right>
        <color indexed="63"/>
      </right>
      <top style="double"/>
      <bottom style="medium"/>
    </border>
    <border>
      <left>
        <color indexed="63"/>
      </left>
      <right style="double"/>
      <top style="double"/>
      <bottom style="medium"/>
    </border>
    <border>
      <left style="double"/>
      <right/>
      <top style="medium"/>
      <bottom style="medium"/>
    </border>
    <border>
      <left>
        <color indexed="63"/>
      </left>
      <right style="double"/>
      <top style="medium"/>
      <bottom style="medium"/>
    </border>
    <border>
      <left style="double"/>
      <right style="thin"/>
      <top style="medium"/>
      <bottom/>
    </border>
    <border>
      <left style="double"/>
      <right style="thin"/>
      <top/>
      <bottom style="thin"/>
    </border>
    <border>
      <left>
        <color indexed="63"/>
      </left>
      <right style="double"/>
      <top style="medium"/>
      <bottom>
        <color indexed="63"/>
      </bottom>
    </border>
    <border>
      <left/>
      <right style="double"/>
      <top/>
      <bottom style="thin"/>
    </border>
    <border>
      <left/>
      <right style="double"/>
      <top style="thin"/>
      <bottom style="medium"/>
    </border>
    <border>
      <left style="double"/>
      <right>
        <color indexed="63"/>
      </right>
      <top style="medium"/>
      <bottom style="thin"/>
    </border>
    <border>
      <left>
        <color indexed="63"/>
      </left>
      <right style="double"/>
      <top style="medium"/>
      <bottom style="thin"/>
    </border>
    <border>
      <left style="double"/>
      <right/>
      <top style="thin"/>
      <bottom style="medium"/>
    </border>
    <border>
      <left/>
      <right style="double"/>
      <top/>
      <bottom style="medium"/>
    </border>
    <border>
      <left style="medium"/>
      <right/>
      <top style="medium"/>
      <bottom style="double"/>
    </border>
    <border>
      <left/>
      <right/>
      <top style="medium"/>
      <bottom style="double"/>
    </border>
    <border>
      <left/>
      <right style="medium"/>
      <top style="medium"/>
      <bottom style="double"/>
    </border>
    <border>
      <left style="double"/>
      <right>
        <color indexed="63"/>
      </right>
      <top style="medium"/>
      <bottom>
        <color indexed="63"/>
      </bottom>
    </border>
  </borders>
  <cellStyleXfs count="8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7"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72"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75" fillId="0" borderId="3"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30" borderId="1" applyNumberFormat="0" applyAlignment="0" applyProtection="0"/>
    <xf numFmtId="0" fontId="77" fillId="0" borderId="4" applyNumberFormat="0" applyFill="0" applyAlignment="0" applyProtection="0"/>
    <xf numFmtId="0" fontId="78" fillId="31" borderId="0" applyNumberFormat="0" applyBorder="0" applyAlignment="0" applyProtection="0"/>
    <xf numFmtId="0" fontId="0" fillId="0" borderId="0">
      <alignment vertical="top"/>
      <protection/>
    </xf>
    <xf numFmtId="0" fontId="67" fillId="0" borderId="0">
      <alignment/>
      <protection/>
    </xf>
    <xf numFmtId="0" fontId="0" fillId="0" borderId="0">
      <alignment/>
      <protection/>
    </xf>
    <xf numFmtId="0" fontId="0" fillId="32" borderId="5" applyNumberFormat="0" applyFont="0" applyAlignment="0" applyProtection="0"/>
    <xf numFmtId="0" fontId="79" fillId="27" borderId="6"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80" fillId="0" borderId="0" applyNumberFormat="0" applyFill="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81" fillId="0" borderId="0" applyNumberFormat="0" applyFill="0" applyBorder="0" applyAlignment="0" applyProtection="0"/>
  </cellStyleXfs>
  <cellXfs count="980">
    <xf numFmtId="0" fontId="0" fillId="0" borderId="0" xfId="0" applyAlignment="1">
      <alignment/>
    </xf>
    <xf numFmtId="0" fontId="0" fillId="0" borderId="8" xfId="0" applyBorder="1" applyAlignment="1">
      <alignment horizontal="center" vertical="center"/>
    </xf>
    <xf numFmtId="164" fontId="7" fillId="0" borderId="0" xfId="0" applyNumberFormat="1" applyFont="1" applyFill="1" applyBorder="1" applyAlignment="1">
      <alignment horizontal="right" vertical="center"/>
    </xf>
    <xf numFmtId="0" fontId="7" fillId="0" borderId="0" xfId="0" applyFont="1" applyFill="1" applyBorder="1" applyAlignment="1">
      <alignment vertical="center"/>
    </xf>
    <xf numFmtId="7" fontId="7" fillId="0" borderId="0" xfId="47" applyFont="1" applyFill="1" applyBorder="1" applyAlignment="1">
      <alignment vertical="center"/>
    </xf>
    <xf numFmtId="0" fontId="7" fillId="0" borderId="0" xfId="0" applyFont="1" applyBorder="1" applyAlignment="1">
      <alignment vertical="center"/>
    </xf>
    <xf numFmtId="5" fontId="0" fillId="0" borderId="0" xfId="47" applyNumberFormat="1"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11" fillId="0" borderId="0" xfId="0" applyFont="1" applyAlignment="1">
      <alignment horizontal="left" vertical="center"/>
    </xf>
    <xf numFmtId="0" fontId="17"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20"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5" fillId="0" borderId="9" xfId="0" applyFont="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wrapText="1"/>
    </xf>
    <xf numFmtId="0" fontId="15" fillId="0" borderId="8" xfId="0" applyFont="1" applyFill="1" applyBorder="1" applyAlignment="1">
      <alignment horizontal="center" vertical="center"/>
    </xf>
    <xf numFmtId="0" fontId="15" fillId="0" borderId="11" xfId="0" applyFont="1" applyFill="1" applyBorder="1" applyAlignment="1">
      <alignment vertical="center" wrapText="1"/>
    </xf>
    <xf numFmtId="0" fontId="15" fillId="0" borderId="12" xfId="0" applyFont="1" applyBorder="1" applyAlignment="1">
      <alignment vertical="center"/>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xf>
    <xf numFmtId="0" fontId="15" fillId="0" borderId="12" xfId="0" applyFont="1" applyFill="1" applyBorder="1" applyAlignment="1">
      <alignment vertical="center"/>
    </xf>
    <xf numFmtId="0" fontId="15" fillId="0" borderId="8" xfId="0" applyFont="1" applyFill="1" applyBorder="1" applyAlignment="1">
      <alignment vertical="center"/>
    </xf>
    <xf numFmtId="0" fontId="15" fillId="0" borderId="8" xfId="0" applyFont="1" applyBorder="1" applyAlignment="1">
      <alignment vertical="center"/>
    </xf>
    <xf numFmtId="1" fontId="15" fillId="0" borderId="8" xfId="0" applyNumberFormat="1" applyFont="1" applyFill="1" applyBorder="1" applyAlignment="1">
      <alignment horizontal="center" vertical="center"/>
    </xf>
    <xf numFmtId="0" fontId="15" fillId="0" borderId="17" xfId="0" applyFont="1" applyFill="1" applyBorder="1" applyAlignment="1">
      <alignment vertical="center"/>
    </xf>
    <xf numFmtId="0" fontId="15" fillId="0" borderId="17" xfId="0" applyFont="1" applyBorder="1" applyAlignment="1">
      <alignment vertical="center"/>
    </xf>
    <xf numFmtId="7" fontId="15" fillId="0" borderId="18" xfId="47" applyFont="1" applyFill="1" applyBorder="1" applyAlignment="1">
      <alignment vertical="center"/>
    </xf>
    <xf numFmtId="0" fontId="15" fillId="0" borderId="8" xfId="0" applyFont="1" applyFill="1" applyBorder="1" applyAlignment="1">
      <alignment vertical="center" wrapText="1"/>
    </xf>
    <xf numFmtId="0" fontId="15" fillId="0" borderId="19" xfId="0" applyFont="1" applyFill="1" applyBorder="1" applyAlignment="1">
      <alignment vertical="center" wrapText="1"/>
    </xf>
    <xf numFmtId="0" fontId="15" fillId="0" borderId="20" xfId="0" applyFont="1" applyFill="1" applyBorder="1" applyAlignment="1">
      <alignment vertical="center"/>
    </xf>
    <xf numFmtId="0" fontId="15" fillId="0" borderId="20" xfId="0" applyFont="1" applyBorder="1" applyAlignment="1">
      <alignment vertical="center"/>
    </xf>
    <xf numFmtId="166" fontId="0" fillId="35" borderId="8" xfId="0" applyNumberFormat="1" applyFill="1" applyBorder="1" applyAlignment="1">
      <alignment horizontal="center" vertical="center"/>
    </xf>
    <xf numFmtId="0" fontId="15" fillId="0" borderId="0" xfId="0" applyFont="1" applyBorder="1" applyAlignment="1">
      <alignment vertical="center"/>
    </xf>
    <xf numFmtId="0" fontId="15" fillId="0" borderId="21" xfId="0" applyFont="1" applyBorder="1" applyAlignment="1">
      <alignment vertical="center"/>
    </xf>
    <xf numFmtId="0" fontId="15" fillId="0" borderId="8" xfId="0" applyFont="1" applyFill="1" applyBorder="1" applyAlignment="1">
      <alignment vertical="center"/>
    </xf>
    <xf numFmtId="0" fontId="15" fillId="0" borderId="8" xfId="0" applyFont="1" applyFill="1" applyBorder="1" applyAlignment="1">
      <alignment horizontal="center" vertical="center"/>
    </xf>
    <xf numFmtId="0" fontId="15" fillId="0" borderId="8" xfId="0" applyFont="1" applyBorder="1" applyAlignment="1">
      <alignment vertical="center"/>
    </xf>
    <xf numFmtId="0" fontId="15" fillId="0" borderId="22" xfId="0" applyFont="1" applyFill="1" applyBorder="1" applyAlignment="1">
      <alignment vertical="center" wrapText="1"/>
    </xf>
    <xf numFmtId="0" fontId="15" fillId="0" borderId="11" xfId="0" applyFont="1" applyFill="1" applyBorder="1" applyAlignment="1">
      <alignment vertical="center" wrapText="1"/>
    </xf>
    <xf numFmtId="0" fontId="0" fillId="0" borderId="23" xfId="73" applyFont="1" applyBorder="1" applyAlignment="1">
      <alignment horizontal="center" vertical="center"/>
      <protection/>
    </xf>
    <xf numFmtId="0" fontId="0" fillId="0" borderId="24" xfId="73" applyBorder="1" applyAlignment="1">
      <alignment horizontal="center" vertical="center"/>
      <protection/>
    </xf>
    <xf numFmtId="0" fontId="0" fillId="0" borderId="25" xfId="0" applyFont="1" applyBorder="1" applyAlignment="1">
      <alignment vertical="center"/>
    </xf>
    <xf numFmtId="0" fontId="6" fillId="0" borderId="26" xfId="73" applyFont="1" applyBorder="1" applyAlignment="1">
      <alignment vertical="center" wrapText="1"/>
      <protection/>
    </xf>
    <xf numFmtId="0" fontId="0" fillId="0" borderId="27" xfId="73" applyBorder="1" applyAlignment="1">
      <alignment vertical="center"/>
      <protection/>
    </xf>
    <xf numFmtId="0" fontId="0" fillId="0" borderId="28" xfId="73" applyBorder="1" applyAlignment="1">
      <alignment vertical="center" wrapText="1"/>
      <protection/>
    </xf>
    <xf numFmtId="0" fontId="0" fillId="0" borderId="28" xfId="73" applyBorder="1" applyAlignment="1">
      <alignment vertical="center"/>
      <protection/>
    </xf>
    <xf numFmtId="0" fontId="0" fillId="0" borderId="29" xfId="73" applyBorder="1" applyAlignment="1">
      <alignment vertical="center"/>
      <protection/>
    </xf>
    <xf numFmtId="0" fontId="6" fillId="0" borderId="26" xfId="73" applyFont="1" applyBorder="1" applyAlignment="1">
      <alignment vertical="center"/>
      <protection/>
    </xf>
    <xf numFmtId="0" fontId="0" fillId="0" borderId="27" xfId="73" applyBorder="1" applyAlignment="1">
      <alignment vertical="center" wrapText="1"/>
      <protection/>
    </xf>
    <xf numFmtId="0" fontId="0" fillId="0" borderId="29" xfId="73" applyBorder="1" applyAlignment="1">
      <alignment vertical="center" wrapText="1"/>
      <protection/>
    </xf>
    <xf numFmtId="0" fontId="0" fillId="0" borderId="30" xfId="0" applyFont="1" applyBorder="1" applyAlignment="1">
      <alignment vertical="center"/>
    </xf>
    <xf numFmtId="0" fontId="0" fillId="0" borderId="0" xfId="73" applyAlignment="1">
      <alignment horizontal="right" vertical="center"/>
      <protection/>
    </xf>
    <xf numFmtId="0" fontId="15" fillId="0" borderId="31" xfId="0" applyFont="1" applyFill="1" applyBorder="1" applyAlignment="1">
      <alignment vertical="center"/>
    </xf>
    <xf numFmtId="0" fontId="15" fillId="0" borderId="15" xfId="0" applyFont="1" applyFill="1" applyBorder="1" applyAlignment="1">
      <alignment vertical="center" wrapText="1"/>
    </xf>
    <xf numFmtId="0" fontId="0" fillId="0" borderId="27" xfId="0" applyFill="1" applyBorder="1" applyAlignment="1">
      <alignment horizontal="center" vertical="center"/>
    </xf>
    <xf numFmtId="164" fontId="21" fillId="0" borderId="0" xfId="0" applyNumberFormat="1" applyFont="1" applyFill="1" applyBorder="1" applyAlignment="1">
      <alignment horizontal="left" vertical="center"/>
    </xf>
    <xf numFmtId="0" fontId="15" fillId="0" borderId="0" xfId="0" applyFont="1" applyFill="1" applyBorder="1" applyAlignment="1">
      <alignment vertical="center"/>
    </xf>
    <xf numFmtId="7" fontId="15" fillId="0" borderId="0" xfId="47" applyFont="1" applyFill="1" applyBorder="1" applyAlignment="1">
      <alignment vertical="center"/>
    </xf>
    <xf numFmtId="5" fontId="19" fillId="0" borderId="0" xfId="47" applyNumberFormat="1" applyFont="1" applyBorder="1" applyAlignment="1">
      <alignment vertical="center"/>
    </xf>
    <xf numFmtId="0" fontId="15" fillId="0" borderId="20" xfId="0" applyFont="1" applyBorder="1" applyAlignment="1">
      <alignment horizontal="center" vertical="center"/>
    </xf>
    <xf numFmtId="7" fontId="15" fillId="0" borderId="20" xfId="47" applyFont="1" applyFill="1" applyBorder="1" applyAlignment="1">
      <alignment horizontal="center" vertical="center"/>
    </xf>
    <xf numFmtId="7" fontId="15" fillId="0" borderId="32" xfId="47" applyFont="1" applyFill="1" applyBorder="1" applyAlignment="1">
      <alignment vertical="center"/>
    </xf>
    <xf numFmtId="0" fontId="21" fillId="0" borderId="33" xfId="0" applyFont="1" applyFill="1" applyBorder="1" applyAlignment="1">
      <alignment vertical="center"/>
    </xf>
    <xf numFmtId="0" fontId="15" fillId="0" borderId="8" xfId="0" applyFont="1" applyBorder="1" applyAlignment="1">
      <alignment horizontal="center" vertical="center"/>
    </xf>
    <xf numFmtId="0" fontId="0" fillId="0" borderId="34" xfId="0" applyBorder="1" applyAlignment="1">
      <alignment horizontal="center" vertical="center"/>
    </xf>
    <xf numFmtId="0" fontId="15" fillId="0" borderId="16" xfId="0" applyFont="1" applyFill="1" applyBorder="1" applyAlignment="1">
      <alignment vertical="center"/>
    </xf>
    <xf numFmtId="0" fontId="15" fillId="0" borderId="35" xfId="0" applyFont="1" applyFill="1" applyBorder="1" applyAlignment="1">
      <alignment vertical="center" wrapText="1"/>
    </xf>
    <xf numFmtId="0" fontId="15" fillId="0" borderId="16" xfId="0" applyFont="1" applyBorder="1" applyAlignment="1">
      <alignment vertical="center"/>
    </xf>
    <xf numFmtId="0" fontId="15" fillId="0" borderId="36" xfId="0" applyFont="1" applyFill="1" applyBorder="1" applyAlignment="1">
      <alignment vertical="center" wrapText="1"/>
    </xf>
    <xf numFmtId="0" fontId="15" fillId="0" borderId="20" xfId="0" applyFont="1" applyBorder="1" applyAlignment="1">
      <alignment vertical="center"/>
    </xf>
    <xf numFmtId="0" fontId="15" fillId="0" borderId="37" xfId="0" applyFont="1" applyFill="1" applyBorder="1" applyAlignment="1">
      <alignment vertical="center" wrapText="1"/>
    </xf>
    <xf numFmtId="0" fontId="15" fillId="0" borderId="29" xfId="0" applyFont="1" applyFill="1" applyBorder="1" applyAlignment="1">
      <alignment vertical="center"/>
    </xf>
    <xf numFmtId="0" fontId="15" fillId="0" borderId="38" xfId="0" applyFont="1" applyFill="1" applyBorder="1" applyAlignment="1">
      <alignment vertical="center" wrapText="1"/>
    </xf>
    <xf numFmtId="3" fontId="15" fillId="0" borderId="8" xfId="0" applyNumberFormat="1" applyFont="1" applyFill="1" applyBorder="1" applyAlignment="1">
      <alignment horizontal="center" vertical="center"/>
    </xf>
    <xf numFmtId="3" fontId="15" fillId="0" borderId="16" xfId="0" applyNumberFormat="1" applyFont="1" applyFill="1" applyBorder="1" applyAlignment="1">
      <alignment horizontal="center" vertical="center"/>
    </xf>
    <xf numFmtId="173" fontId="0" fillId="36" borderId="27" xfId="73" applyNumberFormat="1" applyFill="1" applyBorder="1" applyAlignment="1">
      <alignment vertical="center"/>
      <protection/>
    </xf>
    <xf numFmtId="173" fontId="0" fillId="36" borderId="28" xfId="73" applyNumberFormat="1" applyFill="1" applyBorder="1" applyAlignment="1">
      <alignment vertical="center"/>
      <protection/>
    </xf>
    <xf numFmtId="173" fontId="0" fillId="36" borderId="29" xfId="73" applyNumberFormat="1" applyFill="1" applyBorder="1" applyAlignment="1">
      <alignment vertical="center"/>
      <protection/>
    </xf>
    <xf numFmtId="173" fontId="0" fillId="36" borderId="39" xfId="73" applyNumberFormat="1" applyFill="1" applyBorder="1" applyAlignment="1">
      <alignment vertical="center"/>
      <protection/>
    </xf>
    <xf numFmtId="173" fontId="0" fillId="0" borderId="27" xfId="49" applyNumberFormat="1" applyFont="1" applyFill="1" applyBorder="1" applyAlignment="1">
      <alignment vertical="center"/>
    </xf>
    <xf numFmtId="3" fontId="0" fillId="0" borderId="28" xfId="73" applyNumberFormat="1" applyBorder="1" applyAlignment="1">
      <alignment horizontal="center" vertical="center"/>
      <protection/>
    </xf>
    <xf numFmtId="3" fontId="0" fillId="0" borderId="29" xfId="73" applyNumberFormat="1" applyBorder="1" applyAlignment="1">
      <alignment horizontal="center" vertical="center"/>
      <protection/>
    </xf>
    <xf numFmtId="3" fontId="0" fillId="0" borderId="27" xfId="73" applyNumberFormat="1" applyBorder="1" applyAlignment="1">
      <alignment horizontal="center" vertical="center"/>
      <protection/>
    </xf>
    <xf numFmtId="0" fontId="0" fillId="0" borderId="40" xfId="0" applyFill="1" applyBorder="1" applyAlignment="1">
      <alignment vertical="center"/>
    </xf>
    <xf numFmtId="0" fontId="4" fillId="0" borderId="28" xfId="0" applyFont="1" applyBorder="1" applyAlignment="1">
      <alignment horizontal="center" vertical="center"/>
    </xf>
    <xf numFmtId="0" fontId="11" fillId="0" borderId="0" xfId="0" applyFont="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Fill="1" applyAlignment="1">
      <alignment vertical="center"/>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0" xfId="0" applyFont="1" applyFill="1" applyBorder="1" applyAlignment="1">
      <alignment horizontal="left" vertical="center"/>
    </xf>
    <xf numFmtId="0" fontId="19" fillId="0" borderId="0" xfId="0" applyFont="1" applyBorder="1" applyAlignment="1">
      <alignment horizontal="right" vertical="center"/>
    </xf>
    <xf numFmtId="14" fontId="15" fillId="0" borderId="0" xfId="0" applyNumberFormat="1" applyFont="1" applyAlignment="1">
      <alignment vertical="center"/>
    </xf>
    <xf numFmtId="0" fontId="19" fillId="0" borderId="0" xfId="0" applyFont="1" applyBorder="1" applyAlignment="1">
      <alignment horizontal="center" vertical="center"/>
    </xf>
    <xf numFmtId="0" fontId="15" fillId="0" borderId="0" xfId="0" applyFont="1" applyFill="1" applyAlignment="1">
      <alignment vertical="center"/>
    </xf>
    <xf numFmtId="0" fontId="15" fillId="0" borderId="0" xfId="0" applyFont="1" applyAlignment="1">
      <alignment vertical="center"/>
    </xf>
    <xf numFmtId="0" fontId="25" fillId="0" borderId="0" xfId="0" applyFont="1" applyAlignment="1">
      <alignment vertical="center"/>
    </xf>
    <xf numFmtId="0" fontId="26" fillId="0" borderId="0" xfId="0" applyFont="1" applyBorder="1" applyAlignment="1">
      <alignment vertical="center"/>
    </xf>
    <xf numFmtId="7" fontId="25" fillId="0" borderId="0" xfId="0" applyNumberFormat="1" applyFont="1" applyBorder="1" applyAlignment="1">
      <alignment vertical="center"/>
    </xf>
    <xf numFmtId="0" fontId="21" fillId="0" borderId="0" xfId="0" applyFont="1" applyAlignment="1">
      <alignment horizontal="right" vertical="center"/>
    </xf>
    <xf numFmtId="0" fontId="0" fillId="0" borderId="0" xfId="0" applyFont="1" applyAlignment="1">
      <alignment vertical="center"/>
    </xf>
    <xf numFmtId="0" fontId="0" fillId="37" borderId="0" xfId="0" applyFill="1" applyAlignment="1">
      <alignment vertical="center"/>
    </xf>
    <xf numFmtId="0" fontId="9" fillId="0" borderId="0" xfId="0" applyFont="1" applyAlignment="1">
      <alignment horizontal="center" vertical="center"/>
    </xf>
    <xf numFmtId="0" fontId="10" fillId="0" borderId="0" xfId="0" applyFont="1" applyAlignment="1">
      <alignment vertical="center"/>
    </xf>
    <xf numFmtId="166" fontId="0" fillId="0" borderId="8" xfId="0" applyNumberFormat="1" applyBorder="1" applyAlignment="1">
      <alignment horizontal="center" vertical="center"/>
    </xf>
    <xf numFmtId="2" fontId="0" fillId="0" borderId="8" xfId="0" applyNumberFormat="1" applyBorder="1" applyAlignment="1">
      <alignment horizontal="center" vertical="center"/>
    </xf>
    <xf numFmtId="0" fontId="8" fillId="0" borderId="0" xfId="0" applyFont="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4" fillId="0" borderId="44" xfId="0" applyFont="1" applyBorder="1" applyAlignment="1">
      <alignment vertical="center"/>
    </xf>
    <xf numFmtId="0" fontId="0" fillId="0" borderId="36" xfId="0" applyFill="1" applyBorder="1" applyAlignment="1">
      <alignment vertical="center"/>
    </xf>
    <xf numFmtId="10" fontId="0" fillId="0" borderId="0" xfId="0" applyNumberFormat="1" applyAlignment="1">
      <alignment vertical="center"/>
    </xf>
    <xf numFmtId="9" fontId="0" fillId="0" borderId="0" xfId="0" applyNumberFormat="1" applyFont="1" applyAlignment="1">
      <alignment vertical="center"/>
    </xf>
    <xf numFmtId="9" fontId="0" fillId="0" borderId="0" xfId="0" applyNumberFormat="1" applyAlignment="1">
      <alignment vertical="center"/>
    </xf>
    <xf numFmtId="0" fontId="15" fillId="0" borderId="13" xfId="0" applyFont="1" applyBorder="1" applyAlignment="1">
      <alignment vertical="center"/>
    </xf>
    <xf numFmtId="0" fontId="22" fillId="0" borderId="0" xfId="67" applyFont="1" applyAlignment="1" applyProtection="1">
      <alignment vertical="center"/>
      <protection/>
    </xf>
    <xf numFmtId="0" fontId="4" fillId="0" borderId="40" xfId="0" applyFont="1" applyBorder="1" applyAlignment="1">
      <alignment horizontal="center" vertical="center"/>
    </xf>
    <xf numFmtId="0" fontId="4" fillId="0" borderId="36" xfId="0" applyFont="1" applyBorder="1" applyAlignment="1">
      <alignment vertical="center"/>
    </xf>
    <xf numFmtId="3" fontId="4" fillId="0" borderId="40" xfId="0" applyNumberFormat="1" applyFont="1" applyBorder="1" applyAlignment="1">
      <alignment horizontal="center" vertical="center"/>
    </xf>
    <xf numFmtId="3" fontId="15" fillId="0" borderId="8" xfId="0" applyNumberFormat="1" applyFont="1" applyFill="1" applyBorder="1" applyAlignment="1">
      <alignment horizontal="center" vertical="center"/>
    </xf>
    <xf numFmtId="3" fontId="15" fillId="0" borderId="8" xfId="47"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3" fontId="15" fillId="0" borderId="16" xfId="0" applyNumberFormat="1" applyFont="1" applyFill="1" applyBorder="1" applyAlignment="1">
      <alignment horizontal="center" vertical="center"/>
    </xf>
    <xf numFmtId="3" fontId="15" fillId="0" borderId="32" xfId="0" applyNumberFormat="1" applyFont="1" applyFill="1" applyBorder="1" applyAlignment="1">
      <alignment horizontal="center" vertical="center"/>
    </xf>
    <xf numFmtId="3" fontId="4" fillId="0" borderId="28" xfId="0" applyNumberFormat="1" applyFont="1" applyBorder="1" applyAlignment="1">
      <alignment horizontal="center" vertical="center"/>
    </xf>
    <xf numFmtId="3" fontId="0" fillId="0" borderId="40" xfId="0" applyNumberFormat="1" applyFill="1" applyBorder="1" applyAlignment="1">
      <alignment vertical="center"/>
    </xf>
    <xf numFmtId="3" fontId="15" fillId="0" borderId="29" xfId="0"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3" fontId="15" fillId="0" borderId="32" xfId="0" applyNumberFormat="1" applyFont="1" applyFill="1" applyBorder="1" applyAlignment="1">
      <alignment vertical="center"/>
    </xf>
    <xf numFmtId="3" fontId="15" fillId="0" borderId="31" xfId="0" applyNumberFormat="1" applyFont="1" applyFill="1" applyBorder="1" applyAlignment="1">
      <alignment horizontal="center" vertical="center"/>
    </xf>
    <xf numFmtId="3" fontId="15" fillId="0" borderId="17" xfId="0" applyNumberFormat="1" applyFont="1" applyFill="1" applyBorder="1" applyAlignment="1">
      <alignment vertical="center"/>
    </xf>
    <xf numFmtId="3" fontId="15" fillId="0" borderId="18" xfId="0" applyNumberFormat="1" applyFont="1" applyFill="1" applyBorder="1" applyAlignment="1">
      <alignment vertical="center"/>
    </xf>
    <xf numFmtId="179" fontId="4" fillId="0" borderId="28" xfId="0" applyNumberFormat="1" applyFont="1" applyBorder="1" applyAlignment="1">
      <alignment horizontal="center" vertical="center"/>
    </xf>
    <xf numFmtId="179" fontId="0" fillId="0" borderId="40" xfId="0" applyNumberFormat="1" applyFill="1" applyBorder="1" applyAlignment="1">
      <alignment vertical="center"/>
    </xf>
    <xf numFmtId="179" fontId="15" fillId="0" borderId="29" xfId="49" applyNumberFormat="1" applyFont="1" applyBorder="1" applyAlignment="1">
      <alignment vertical="center"/>
    </xf>
    <xf numFmtId="179" fontId="15" fillId="0" borderId="20" xfId="49" applyNumberFormat="1" applyFont="1" applyBorder="1" applyAlignment="1">
      <alignment vertical="center"/>
    </xf>
    <xf numFmtId="179" fontId="15" fillId="0" borderId="16" xfId="49" applyNumberFormat="1" applyFont="1" applyBorder="1" applyAlignment="1">
      <alignment vertical="center"/>
    </xf>
    <xf numFmtId="179" fontId="19" fillId="0" borderId="45" xfId="47" applyNumberFormat="1" applyFont="1" applyBorder="1" applyAlignment="1">
      <alignment vertical="center"/>
    </xf>
    <xf numFmtId="179" fontId="15" fillId="0" borderId="31" xfId="49" applyNumberFormat="1" applyFont="1" applyBorder="1" applyAlignment="1">
      <alignment vertical="center"/>
    </xf>
    <xf numFmtId="179" fontId="15" fillId="0" borderId="17" xfId="47" applyNumberFormat="1" applyFont="1" applyBorder="1" applyAlignment="1">
      <alignment vertical="center"/>
    </xf>
    <xf numFmtId="179" fontId="19" fillId="0" borderId="46" xfId="47" applyNumberFormat="1" applyFont="1" applyBorder="1" applyAlignment="1">
      <alignment vertical="center"/>
    </xf>
    <xf numFmtId="173" fontId="15" fillId="0" borderId="8" xfId="47" applyNumberFormat="1" applyFont="1" applyFill="1" applyBorder="1" applyAlignment="1">
      <alignment vertical="center"/>
    </xf>
    <xf numFmtId="173" fontId="15" fillId="0" borderId="18" xfId="0" applyNumberFormat="1" applyFont="1" applyBorder="1" applyAlignment="1">
      <alignment vertical="center"/>
    </xf>
    <xf numFmtId="173" fontId="4" fillId="0" borderId="40" xfId="0" applyNumberFormat="1" applyFont="1" applyBorder="1" applyAlignment="1">
      <alignment vertical="center"/>
    </xf>
    <xf numFmtId="173" fontId="15" fillId="0" borderId="12" xfId="47" applyNumberFormat="1" applyFont="1" applyFill="1" applyBorder="1" applyAlignment="1">
      <alignment vertical="center"/>
    </xf>
    <xf numFmtId="173" fontId="15" fillId="0" borderId="9" xfId="47" applyNumberFormat="1" applyFont="1" applyFill="1" applyBorder="1" applyAlignment="1">
      <alignment vertical="center"/>
    </xf>
    <xf numFmtId="173" fontId="15" fillId="0" borderId="20" xfId="47" applyNumberFormat="1" applyFont="1" applyFill="1" applyBorder="1" applyAlignment="1">
      <alignment vertical="center"/>
    </xf>
    <xf numFmtId="173" fontId="15" fillId="0" borderId="16" xfId="47" applyNumberFormat="1" applyFont="1" applyFill="1" applyBorder="1" applyAlignment="1">
      <alignment vertical="center"/>
    </xf>
    <xf numFmtId="173" fontId="15" fillId="0" borderId="32" xfId="0" applyNumberFormat="1" applyFont="1" applyBorder="1" applyAlignment="1">
      <alignment vertical="center"/>
    </xf>
    <xf numFmtId="173" fontId="4" fillId="0" borderId="28" xfId="0" applyNumberFormat="1" applyFont="1" applyBorder="1" applyAlignment="1">
      <alignment vertical="center"/>
    </xf>
    <xf numFmtId="173" fontId="0" fillId="0" borderId="40" xfId="0" applyNumberFormat="1" applyFill="1" applyBorder="1" applyAlignment="1">
      <alignment vertical="center"/>
    </xf>
    <xf numFmtId="173" fontId="15" fillId="0" borderId="29" xfId="47" applyNumberFormat="1" applyFont="1" applyFill="1" applyBorder="1" applyAlignment="1">
      <alignment vertical="center"/>
    </xf>
    <xf numFmtId="173" fontId="15" fillId="0" borderId="8" xfId="47" applyNumberFormat="1" applyFont="1" applyBorder="1" applyAlignment="1">
      <alignment vertical="center"/>
    </xf>
    <xf numFmtId="173" fontId="15" fillId="0" borderId="12" xfId="49" applyNumberFormat="1" applyFont="1" applyBorder="1" applyAlignment="1">
      <alignment vertical="center"/>
    </xf>
    <xf numFmtId="173" fontId="15" fillId="0" borderId="9" xfId="47" applyNumberFormat="1" applyFont="1" applyBorder="1" applyAlignment="1">
      <alignment vertical="center"/>
    </xf>
    <xf numFmtId="173" fontId="15" fillId="0" borderId="20" xfId="47" applyNumberFormat="1" applyFont="1" applyBorder="1" applyAlignment="1">
      <alignment vertical="center"/>
    </xf>
    <xf numFmtId="173" fontId="15" fillId="0" borderId="12" xfId="47" applyNumberFormat="1" applyFont="1" applyBorder="1" applyAlignment="1">
      <alignment vertical="center"/>
    </xf>
    <xf numFmtId="3" fontId="15" fillId="0" borderId="12" xfId="47" applyNumberFormat="1" applyFont="1" applyFill="1" applyBorder="1" applyAlignment="1">
      <alignment horizontal="center" vertical="center"/>
    </xf>
    <xf numFmtId="0" fontId="15" fillId="0" borderId="47" xfId="0" applyFont="1" applyFill="1" applyBorder="1" applyAlignment="1">
      <alignment vertical="center"/>
    </xf>
    <xf numFmtId="3" fontId="15" fillId="0" borderId="47" xfId="0" applyNumberFormat="1" applyFont="1" applyFill="1" applyBorder="1" applyAlignment="1">
      <alignment horizontal="center" vertical="center"/>
    </xf>
    <xf numFmtId="179" fontId="15" fillId="0" borderId="47" xfId="49" applyNumberFormat="1" applyFont="1" applyBorder="1" applyAlignment="1">
      <alignment vertical="center"/>
    </xf>
    <xf numFmtId="0" fontId="21" fillId="0" borderId="48" xfId="0" applyFont="1" applyFill="1" applyBorder="1" applyAlignment="1">
      <alignment vertical="center"/>
    </xf>
    <xf numFmtId="3" fontId="15" fillId="0" borderId="49" xfId="0" applyNumberFormat="1" applyFont="1" applyFill="1" applyBorder="1" applyAlignment="1">
      <alignment vertical="center"/>
    </xf>
    <xf numFmtId="173" fontId="15" fillId="0" borderId="49" xfId="0" applyNumberFormat="1" applyFont="1" applyBorder="1" applyAlignment="1">
      <alignment vertical="center"/>
    </xf>
    <xf numFmtId="179" fontId="19" fillId="0" borderId="50" xfId="47" applyNumberFormat="1" applyFont="1" applyBorder="1" applyAlignment="1">
      <alignment vertical="center"/>
    </xf>
    <xf numFmtId="0" fontId="15" fillId="0" borderId="51" xfId="0" applyFont="1" applyFill="1" applyBorder="1" applyAlignment="1">
      <alignment vertical="center" wrapText="1"/>
    </xf>
    <xf numFmtId="0" fontId="0" fillId="0" borderId="34" xfId="0" applyFont="1" applyBorder="1" applyAlignment="1">
      <alignment horizontal="center" vertical="center"/>
    </xf>
    <xf numFmtId="0" fontId="31" fillId="0" borderId="0" xfId="0" applyFont="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vertical="center"/>
    </xf>
    <xf numFmtId="4" fontId="0" fillId="0" borderId="54" xfId="0" applyNumberFormat="1" applyBorder="1" applyAlignment="1">
      <alignment horizontal="center" vertical="center"/>
    </xf>
    <xf numFmtId="4" fontId="0" fillId="0" borderId="34" xfId="0" applyNumberFormat="1" applyBorder="1" applyAlignment="1">
      <alignment horizontal="center" vertical="center"/>
    </xf>
    <xf numFmtId="4" fontId="0" fillId="0" borderId="8" xfId="0" applyNumberFormat="1" applyBorder="1" applyAlignment="1">
      <alignment horizontal="center" vertical="center"/>
    </xf>
    <xf numFmtId="4" fontId="0" fillId="0" borderId="23" xfId="0" applyNumberFormat="1" applyBorder="1" applyAlignment="1">
      <alignment horizontal="center" vertical="center"/>
    </xf>
    <xf numFmtId="0" fontId="0" fillId="37" borderId="8" xfId="0" applyFill="1" applyBorder="1" applyAlignment="1">
      <alignment horizontal="center" vertical="center"/>
    </xf>
    <xf numFmtId="1" fontId="6" fillId="38" borderId="8" xfId="0" applyNumberFormat="1" applyFont="1" applyFill="1" applyBorder="1" applyAlignment="1">
      <alignment horizontal="center" vertical="center"/>
    </xf>
    <xf numFmtId="0" fontId="0" fillId="0" borderId="52" xfId="0" applyBorder="1" applyAlignment="1">
      <alignment vertical="center" wrapText="1"/>
    </xf>
    <xf numFmtId="0" fontId="4" fillId="0" borderId="0" xfId="0" applyFont="1" applyAlignment="1">
      <alignment vertical="center"/>
    </xf>
    <xf numFmtId="0" fontId="0" fillId="0" borderId="23" xfId="0" applyFont="1" applyBorder="1" applyAlignment="1">
      <alignment horizontal="center" vertical="center"/>
    </xf>
    <xf numFmtId="4" fontId="0" fillId="0" borderId="55" xfId="0" applyNumberFormat="1" applyBorder="1" applyAlignment="1">
      <alignment horizontal="center" vertical="center"/>
    </xf>
    <xf numFmtId="4" fontId="0" fillId="0" borderId="52" xfId="0" applyNumberFormat="1" applyBorder="1" applyAlignment="1">
      <alignment horizontal="center" vertical="center"/>
    </xf>
    <xf numFmtId="0" fontId="0" fillId="0" borderId="52" xfId="0" applyFont="1" applyBorder="1" applyAlignment="1">
      <alignment vertical="center"/>
    </xf>
    <xf numFmtId="4" fontId="0" fillId="0" borderId="8" xfId="0" applyNumberFormat="1" applyFill="1" applyBorder="1" applyAlignment="1">
      <alignment horizontal="center" vertical="center"/>
    </xf>
    <xf numFmtId="4" fontId="0" fillId="0" borderId="34" xfId="0" applyNumberFormat="1" applyFill="1" applyBorder="1" applyAlignment="1">
      <alignment horizontal="center" vertical="center"/>
    </xf>
    <xf numFmtId="3" fontId="0" fillId="0" borderId="8" xfId="0" applyNumberFormat="1" applyBorder="1" applyAlignment="1">
      <alignment horizontal="center" vertical="center"/>
    </xf>
    <xf numFmtId="3" fontId="0" fillId="0" borderId="34" xfId="0" applyNumberFormat="1" applyBorder="1" applyAlignment="1">
      <alignment horizontal="center" vertical="center"/>
    </xf>
    <xf numFmtId="0" fontId="11" fillId="0" borderId="0" xfId="0" applyFont="1" applyBorder="1" applyAlignment="1">
      <alignment vertical="center"/>
    </xf>
    <xf numFmtId="0" fontId="11" fillId="0" borderId="0" xfId="71" applyFont="1" applyFill="1" applyAlignment="1">
      <alignment vertical="center"/>
      <protection/>
    </xf>
    <xf numFmtId="0" fontId="0" fillId="0" borderId="0" xfId="73" applyAlignment="1">
      <alignment vertical="center"/>
      <protection/>
    </xf>
    <xf numFmtId="0" fontId="3" fillId="0" borderId="0" xfId="73"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wrapText="1"/>
      <protection/>
    </xf>
    <xf numFmtId="0" fontId="0" fillId="0" borderId="56" xfId="73" applyBorder="1" applyAlignment="1">
      <alignment vertical="center"/>
      <protection/>
    </xf>
    <xf numFmtId="0" fontId="0" fillId="0" borderId="0" xfId="73" applyBorder="1" applyAlignment="1">
      <alignment vertical="center"/>
      <protection/>
    </xf>
    <xf numFmtId="0" fontId="0" fillId="0" borderId="0" xfId="73" applyFont="1" applyBorder="1" applyAlignment="1">
      <alignment horizontal="right" vertical="center"/>
      <protection/>
    </xf>
    <xf numFmtId="0" fontId="0" fillId="0" borderId="57" xfId="73" applyBorder="1" applyAlignment="1">
      <alignment vertical="center"/>
      <protection/>
    </xf>
    <xf numFmtId="0" fontId="0" fillId="0" borderId="0" xfId="73" applyFont="1" applyBorder="1" applyAlignment="1">
      <alignment vertical="center"/>
      <protection/>
    </xf>
    <xf numFmtId="0" fontId="0" fillId="0" borderId="8" xfId="73" applyBorder="1" applyAlignment="1">
      <alignment vertical="center"/>
      <protection/>
    </xf>
    <xf numFmtId="0" fontId="0" fillId="0" borderId="8" xfId="73" applyFont="1" applyBorder="1" applyAlignment="1">
      <alignment horizontal="center" vertical="center"/>
      <protection/>
    </xf>
    <xf numFmtId="0" fontId="0" fillId="0" borderId="34" xfId="73" applyFont="1" applyBorder="1" applyAlignment="1">
      <alignment horizontal="center" vertical="center"/>
      <protection/>
    </xf>
    <xf numFmtId="0" fontId="0" fillId="0" borderId="0" xfId="73" applyBorder="1" applyAlignment="1">
      <alignment vertical="center" wrapText="1"/>
      <protection/>
    </xf>
    <xf numFmtId="0" fontId="0" fillId="0" borderId="58" xfId="73" applyFont="1" applyBorder="1" applyAlignment="1">
      <alignment horizontal="center" vertical="center"/>
      <protection/>
    </xf>
    <xf numFmtId="0" fontId="0" fillId="0" borderId="29" xfId="73" applyFont="1" applyBorder="1" applyAlignment="1">
      <alignment horizontal="center" vertical="center"/>
      <protection/>
    </xf>
    <xf numFmtId="0" fontId="0" fillId="0" borderId="59" xfId="73" applyFont="1" applyBorder="1" applyAlignment="1">
      <alignment horizontal="center" vertical="center"/>
      <protection/>
    </xf>
    <xf numFmtId="0" fontId="0" fillId="0" borderId="56" xfId="73" applyFont="1" applyBorder="1" applyAlignment="1">
      <alignment horizontal="center" vertical="center"/>
      <protection/>
    </xf>
    <xf numFmtId="0" fontId="0" fillId="0" borderId="0" xfId="73" applyFont="1" applyBorder="1" applyAlignment="1">
      <alignment horizontal="center" vertical="center"/>
      <protection/>
    </xf>
    <xf numFmtId="0" fontId="0" fillId="0" borderId="56" xfId="73" applyFont="1" applyBorder="1" applyAlignment="1">
      <alignment vertical="center"/>
      <protection/>
    </xf>
    <xf numFmtId="4" fontId="0" fillId="0" borderId="0" xfId="73" applyNumberFormat="1" applyFont="1" applyBorder="1" applyAlignment="1">
      <alignment horizontal="center" vertical="center"/>
      <protection/>
    </xf>
    <xf numFmtId="0" fontId="0" fillId="0" borderId="23" xfId="73" applyFont="1" applyBorder="1" applyAlignment="1">
      <alignment horizontal="center" vertical="center" wrapText="1"/>
      <protection/>
    </xf>
    <xf numFmtId="0" fontId="6" fillId="0" borderId="60" xfId="73" applyFont="1" applyBorder="1" applyAlignment="1">
      <alignment horizontal="center" vertical="center"/>
      <protection/>
    </xf>
    <xf numFmtId="0" fontId="0" fillId="0" borderId="61" xfId="73" applyFont="1" applyBorder="1" applyAlignment="1">
      <alignment vertical="center"/>
      <protection/>
    </xf>
    <xf numFmtId="4" fontId="0" fillId="0" borderId="62" xfId="73" applyNumberFormat="1" applyBorder="1" applyAlignment="1">
      <alignment horizontal="center" vertical="center"/>
      <protection/>
    </xf>
    <xf numFmtId="0" fontId="0" fillId="0" borderId="63" xfId="73" applyBorder="1" applyAlignment="1">
      <alignment vertical="center"/>
      <protection/>
    </xf>
    <xf numFmtId="179" fontId="0" fillId="0" borderId="64" xfId="73" applyNumberFormat="1" applyBorder="1" applyAlignment="1">
      <alignment horizontal="center" vertical="center"/>
      <protection/>
    </xf>
    <xf numFmtId="0" fontId="0" fillId="0" borderId="58" xfId="73" applyFont="1" applyBorder="1" applyAlignment="1">
      <alignment horizontal="center" vertical="center" wrapText="1"/>
      <protection/>
    </xf>
    <xf numFmtId="0" fontId="0" fillId="0" borderId="65" xfId="73" applyFont="1" applyBorder="1" applyAlignment="1">
      <alignment vertical="center"/>
      <protection/>
    </xf>
    <xf numFmtId="179" fontId="0" fillId="36" borderId="21" xfId="73" applyNumberFormat="1" applyFont="1" applyFill="1" applyBorder="1" applyAlignment="1">
      <alignment horizontal="center" vertical="center"/>
      <protection/>
    </xf>
    <xf numFmtId="0" fontId="0" fillId="0" borderId="66" xfId="73" applyBorder="1" applyAlignment="1">
      <alignment vertical="center"/>
      <protection/>
    </xf>
    <xf numFmtId="10" fontId="0" fillId="0" borderId="39" xfId="77" applyFont="1" applyBorder="1" applyAlignment="1">
      <alignment horizontal="center" vertical="center"/>
    </xf>
    <xf numFmtId="0" fontId="0" fillId="0" borderId="56" xfId="73" applyFont="1" applyBorder="1" applyAlignment="1">
      <alignment horizontal="center" vertical="center" wrapText="1"/>
      <protection/>
    </xf>
    <xf numFmtId="0" fontId="0" fillId="0" borderId="0" xfId="73" applyFont="1" applyBorder="1" applyAlignment="1">
      <alignment horizontal="center" vertical="center" wrapText="1"/>
      <protection/>
    </xf>
    <xf numFmtId="0" fontId="0" fillId="0" borderId="0" xfId="73" applyFont="1" applyAlignment="1" quotePrefix="1">
      <alignment vertical="center"/>
      <protection/>
    </xf>
    <xf numFmtId="0" fontId="0" fillId="0" borderId="25" xfId="73" applyBorder="1" applyAlignment="1">
      <alignment vertical="center"/>
      <protection/>
    </xf>
    <xf numFmtId="0" fontId="0" fillId="0" borderId="67" xfId="73" applyBorder="1" applyAlignment="1">
      <alignment vertical="center"/>
      <protection/>
    </xf>
    <xf numFmtId="0" fontId="0" fillId="0" borderId="65" xfId="73" applyBorder="1" applyAlignment="1">
      <alignment vertical="center"/>
      <protection/>
    </xf>
    <xf numFmtId="0" fontId="0" fillId="0" borderId="21" xfId="73" applyBorder="1" applyAlignment="1">
      <alignment vertical="center"/>
      <protection/>
    </xf>
    <xf numFmtId="0" fontId="19" fillId="34" borderId="0" xfId="0" applyFont="1" applyFill="1" applyBorder="1" applyAlignment="1">
      <alignment vertical="center"/>
    </xf>
    <xf numFmtId="0" fontId="0" fillId="39" borderId="0" xfId="0" applyFill="1" applyBorder="1" applyAlignment="1">
      <alignment vertical="center"/>
    </xf>
    <xf numFmtId="0" fontId="15" fillId="34" borderId="0" xfId="0" applyFont="1" applyFill="1" applyBorder="1" applyAlignment="1">
      <alignment vertical="center"/>
    </xf>
    <xf numFmtId="0" fontId="0" fillId="34" borderId="0" xfId="0" applyFill="1" applyBorder="1" applyAlignment="1">
      <alignment vertical="center"/>
    </xf>
    <xf numFmtId="0" fontId="0" fillId="40" borderId="0" xfId="0" applyFill="1" applyBorder="1" applyAlignment="1">
      <alignment vertical="center"/>
    </xf>
    <xf numFmtId="0" fontId="0" fillId="40" borderId="0" xfId="0" applyFill="1" applyBorder="1" applyAlignment="1">
      <alignment vertical="center" wrapText="1"/>
    </xf>
    <xf numFmtId="0" fontId="4" fillId="40" borderId="0" xfId="0" applyFont="1" applyFill="1" applyBorder="1" applyAlignment="1">
      <alignment vertical="center" wrapText="1"/>
    </xf>
    <xf numFmtId="0" fontId="0" fillId="40" borderId="0" xfId="0" applyFont="1" applyFill="1" applyBorder="1" applyAlignment="1">
      <alignment vertical="center" wrapText="1"/>
    </xf>
    <xf numFmtId="0" fontId="4" fillId="40" borderId="0" xfId="0" applyFont="1" applyFill="1" applyBorder="1" applyAlignment="1">
      <alignment vertical="center" wrapText="1"/>
    </xf>
    <xf numFmtId="0" fontId="4" fillId="40" borderId="0" xfId="0" applyFont="1" applyFill="1" applyBorder="1" applyAlignment="1">
      <alignment vertical="center"/>
    </xf>
    <xf numFmtId="0" fontId="15" fillId="0" borderId="0" xfId="0" applyFont="1" applyFill="1" applyBorder="1" applyAlignment="1">
      <alignment vertical="center"/>
    </xf>
    <xf numFmtId="0" fontId="0" fillId="0" borderId="29" xfId="0" applyBorder="1" applyAlignment="1">
      <alignment horizontal="center" vertical="center"/>
    </xf>
    <xf numFmtId="3" fontId="0" fillId="0" borderId="8" xfId="0" applyNumberFormat="1" applyFill="1" applyBorder="1" applyAlignment="1">
      <alignment horizontal="center" vertical="center"/>
    </xf>
    <xf numFmtId="0" fontId="0" fillId="0" borderId="23" xfId="0" applyFont="1" applyBorder="1" applyAlignment="1">
      <alignment horizontal="center" vertical="center" wrapText="1"/>
    </xf>
    <xf numFmtId="0" fontId="0" fillId="0" borderId="68" xfId="0" applyFont="1" applyBorder="1" applyAlignment="1">
      <alignment horizontal="center" vertical="center"/>
    </xf>
    <xf numFmtId="3" fontId="0" fillId="0" borderId="23" xfId="0" applyNumberFormat="1" applyBorder="1" applyAlignment="1">
      <alignment horizontal="center" vertical="center"/>
    </xf>
    <xf numFmtId="0" fontId="0" fillId="0" borderId="69" xfId="0" applyBorder="1" applyAlignment="1">
      <alignment vertical="center"/>
    </xf>
    <xf numFmtId="0" fontId="6" fillId="0" borderId="70" xfId="0" applyFont="1" applyBorder="1" applyAlignment="1">
      <alignment horizontal="center" vertical="center"/>
    </xf>
    <xf numFmtId="4" fontId="0" fillId="0" borderId="71" xfId="0" applyNumberFormat="1" applyBorder="1" applyAlignment="1">
      <alignment horizontal="center" vertical="center"/>
    </xf>
    <xf numFmtId="4" fontId="0" fillId="0" borderId="53" xfId="0" applyNumberFormat="1" applyBorder="1" applyAlignment="1">
      <alignment horizontal="center" vertical="center"/>
    </xf>
    <xf numFmtId="3" fontId="0" fillId="0" borderId="20" xfId="0" applyNumberFormat="1" applyFill="1" applyBorder="1" applyAlignment="1">
      <alignment horizontal="center" vertical="center"/>
    </xf>
    <xf numFmtId="4" fontId="0" fillId="0" borderId="20" xfId="0" applyNumberFormat="1" applyBorder="1" applyAlignment="1">
      <alignment horizontal="center" vertical="center"/>
    </xf>
    <xf numFmtId="4" fontId="0" fillId="0" borderId="72" xfId="0" applyNumberFormat="1" applyBorder="1" applyAlignment="1">
      <alignment horizontal="center" vertical="center"/>
    </xf>
    <xf numFmtId="0" fontId="0" fillId="0" borderId="73" xfId="0" applyBorder="1" applyAlignment="1">
      <alignment horizontal="center" vertical="center"/>
    </xf>
    <xf numFmtId="0" fontId="0" fillId="0" borderId="74" xfId="0" applyFont="1" applyBorder="1" applyAlignment="1">
      <alignment horizontal="center" vertical="center" wrapText="1"/>
    </xf>
    <xf numFmtId="0" fontId="0" fillId="0" borderId="58" xfId="0" applyBorder="1" applyAlignment="1">
      <alignment horizontal="center" vertical="center"/>
    </xf>
    <xf numFmtId="4" fontId="0" fillId="0" borderId="20" xfId="67" applyNumberFormat="1" applyFont="1" applyBorder="1" applyAlignment="1" applyProtection="1">
      <alignment horizontal="center" vertical="center"/>
      <protection/>
    </xf>
    <xf numFmtId="4" fontId="0" fillId="0" borderId="75" xfId="0" applyNumberFormat="1" applyBorder="1" applyAlignment="1">
      <alignment horizontal="center" vertical="center"/>
    </xf>
    <xf numFmtId="4" fontId="0" fillId="0" borderId="69" xfId="0" applyNumberFormat="1" applyBorder="1" applyAlignment="1">
      <alignment horizontal="center" vertical="center"/>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69" xfId="0" applyFont="1" applyBorder="1" applyAlignment="1">
      <alignment vertical="center"/>
    </xf>
    <xf numFmtId="4" fontId="0" fillId="0" borderId="20" xfId="0" applyNumberFormat="1" applyFill="1" applyBorder="1" applyAlignment="1">
      <alignment horizontal="center" vertical="center"/>
    </xf>
    <xf numFmtId="4" fontId="0" fillId="0" borderId="53" xfId="0" applyNumberFormat="1" applyFill="1" applyBorder="1" applyAlignment="1">
      <alignment horizontal="center" vertical="center"/>
    </xf>
    <xf numFmtId="4" fontId="0" fillId="0" borderId="31" xfId="0" applyNumberFormat="1" applyBorder="1" applyAlignment="1">
      <alignment horizontal="center" vertical="center"/>
    </xf>
    <xf numFmtId="4" fontId="0" fillId="0" borderId="77" xfId="0" applyNumberFormat="1" applyBorder="1" applyAlignment="1">
      <alignment horizontal="center" vertical="center"/>
    </xf>
    <xf numFmtId="3" fontId="0" fillId="0" borderId="16" xfId="0" applyNumberFormat="1" applyFill="1" applyBorder="1" applyAlignment="1">
      <alignment horizontal="center" vertical="center"/>
    </xf>
    <xf numFmtId="4" fontId="0" fillId="0" borderId="16" xfId="0" applyNumberFormat="1" applyBorder="1" applyAlignment="1">
      <alignment horizontal="center" vertical="center"/>
    </xf>
    <xf numFmtId="4" fontId="0" fillId="0" borderId="78" xfId="0" applyNumberFormat="1" applyBorder="1" applyAlignment="1">
      <alignment horizontal="center" vertical="center"/>
    </xf>
    <xf numFmtId="4" fontId="0" fillId="0" borderId="79" xfId="0" applyNumberFormat="1" applyBorder="1" applyAlignment="1">
      <alignment horizontal="center" vertical="center"/>
    </xf>
    <xf numFmtId="4" fontId="0" fillId="0" borderId="80" xfId="0" applyNumberFormat="1" applyBorder="1" applyAlignment="1">
      <alignment horizontal="center" vertical="center"/>
    </xf>
    <xf numFmtId="3" fontId="0" fillId="0" borderId="78" xfId="0" applyNumberFormat="1" applyBorder="1" applyAlignment="1">
      <alignment horizontal="center" vertical="center"/>
    </xf>
    <xf numFmtId="3" fontId="0" fillId="0" borderId="16" xfId="0" applyNumberFormat="1" applyBorder="1" applyAlignment="1">
      <alignment horizontal="center" vertical="center"/>
    </xf>
    <xf numFmtId="3" fontId="0" fillId="0" borderId="77" xfId="0" applyNumberFormat="1" applyBorder="1" applyAlignment="1">
      <alignment horizontal="center" vertical="center"/>
    </xf>
    <xf numFmtId="0" fontId="0" fillId="0" borderId="80" xfId="0" applyFont="1" applyBorder="1" applyAlignment="1">
      <alignment vertical="center"/>
    </xf>
    <xf numFmtId="4" fontId="0" fillId="0" borderId="16" xfId="0" applyNumberFormat="1" applyFill="1" applyBorder="1" applyAlignment="1">
      <alignment horizontal="center" vertical="center"/>
    </xf>
    <xf numFmtId="4" fontId="0" fillId="0" borderId="77" xfId="0" applyNumberFormat="1" applyFill="1" applyBorder="1" applyAlignment="1">
      <alignment horizontal="center" vertical="center"/>
    </xf>
    <xf numFmtId="1" fontId="0" fillId="41" borderId="81" xfId="0" applyNumberFormat="1" applyFill="1" applyBorder="1" applyAlignment="1">
      <alignment horizontal="center" vertical="center"/>
    </xf>
    <xf numFmtId="3" fontId="6" fillId="42" borderId="82" xfId="71" applyNumberFormat="1" applyFont="1" applyFill="1" applyBorder="1" applyAlignment="1">
      <alignment horizontal="center" vertical="center"/>
      <protection/>
    </xf>
    <xf numFmtId="1" fontId="0" fillId="41" borderId="83" xfId="0" applyNumberFormat="1" applyFill="1" applyBorder="1" applyAlignment="1">
      <alignment horizontal="center" vertical="center"/>
    </xf>
    <xf numFmtId="1" fontId="0" fillId="41" borderId="83" xfId="0" applyNumberFormat="1" applyFill="1" applyBorder="1" applyAlignment="1">
      <alignment vertical="center"/>
    </xf>
    <xf numFmtId="3" fontId="6" fillId="42" borderId="50" xfId="71" applyNumberFormat="1" applyFont="1" applyFill="1" applyBorder="1" applyAlignment="1">
      <alignment horizontal="center" vertical="center"/>
      <protection/>
    </xf>
    <xf numFmtId="3" fontId="6" fillId="42" borderId="84" xfId="71" applyNumberFormat="1" applyFont="1" applyFill="1" applyBorder="1" applyAlignment="1">
      <alignment horizontal="center" vertical="center"/>
      <protection/>
    </xf>
    <xf numFmtId="3" fontId="6" fillId="42" borderId="85" xfId="71" applyNumberFormat="1" applyFont="1" applyFill="1" applyBorder="1" applyAlignment="1">
      <alignment horizontal="center" vertical="center"/>
      <protection/>
    </xf>
    <xf numFmtId="0" fontId="6" fillId="0" borderId="85" xfId="0" applyFont="1" applyBorder="1" applyAlignment="1">
      <alignment horizontal="right" vertical="center"/>
    </xf>
    <xf numFmtId="0" fontId="6" fillId="0" borderId="29" xfId="0" applyFont="1" applyFill="1" applyBorder="1" applyAlignment="1">
      <alignment horizontal="center" vertical="center"/>
    </xf>
    <xf numFmtId="0" fontId="6" fillId="0" borderId="59" xfId="0" applyFont="1" applyFill="1" applyBorder="1" applyAlignment="1">
      <alignment horizontal="center" vertical="center"/>
    </xf>
    <xf numFmtId="169" fontId="0" fillId="0" borderId="72" xfId="0" applyNumberFormat="1" applyFill="1" applyBorder="1" applyAlignment="1">
      <alignment horizontal="center" vertical="center"/>
    </xf>
    <xf numFmtId="2" fontId="0" fillId="0" borderId="20" xfId="0" applyNumberFormat="1" applyFill="1" applyBorder="1" applyAlignment="1">
      <alignment horizontal="center" vertical="center"/>
    </xf>
    <xf numFmtId="1" fontId="0" fillId="41" borderId="86" xfId="0" applyNumberFormat="1" applyFill="1" applyBorder="1" applyAlignment="1">
      <alignment vertical="center"/>
    </xf>
    <xf numFmtId="1" fontId="0" fillId="41" borderId="81" xfId="0" applyNumberFormat="1" applyFill="1" applyBorder="1" applyAlignment="1">
      <alignment vertical="center"/>
    </xf>
    <xf numFmtId="1" fontId="0" fillId="41" borderId="49" xfId="0" applyNumberFormat="1" applyFill="1" applyBorder="1" applyAlignment="1">
      <alignment vertical="center"/>
    </xf>
    <xf numFmtId="3" fontId="6" fillId="43" borderId="50" xfId="0" applyNumberFormat="1" applyFont="1" applyFill="1" applyBorder="1" applyAlignment="1">
      <alignment horizontal="center" vertical="center"/>
    </xf>
    <xf numFmtId="3" fontId="6" fillId="44" borderId="82" xfId="0" applyNumberFormat="1" applyFont="1" applyFill="1" applyBorder="1" applyAlignment="1">
      <alignment horizontal="center" vertical="center"/>
    </xf>
    <xf numFmtId="3" fontId="6" fillId="45" borderId="8" xfId="0" applyNumberFormat="1" applyFont="1" applyFill="1" applyBorder="1" applyAlignment="1">
      <alignment horizontal="center" vertical="center"/>
    </xf>
    <xf numFmtId="0" fontId="4" fillId="0" borderId="87" xfId="0" applyNumberFormat="1" applyFont="1" applyBorder="1" applyAlignment="1">
      <alignment horizontal="center" vertical="center"/>
    </xf>
    <xf numFmtId="0" fontId="19" fillId="0" borderId="88" xfId="0" applyNumberFormat="1" applyFont="1" applyFill="1" applyBorder="1" applyAlignment="1">
      <alignment vertical="center"/>
    </xf>
    <xf numFmtId="0" fontId="19" fillId="0" borderId="88" xfId="0" applyNumberFormat="1" applyFont="1" applyBorder="1" applyAlignment="1">
      <alignment vertical="center"/>
    </xf>
    <xf numFmtId="0" fontId="21" fillId="0" borderId="89" xfId="0" applyNumberFormat="1" applyFont="1" applyBorder="1" applyAlignment="1">
      <alignment vertical="center"/>
    </xf>
    <xf numFmtId="0" fontId="15" fillId="0" borderId="90" xfId="0" applyNumberFormat="1" applyFont="1" applyFill="1" applyBorder="1" applyAlignment="1">
      <alignment vertical="center"/>
    </xf>
    <xf numFmtId="0" fontId="19" fillId="0" borderId="91" xfId="0" applyNumberFormat="1" applyFont="1" applyFill="1" applyBorder="1" applyAlignment="1">
      <alignment vertical="center"/>
    </xf>
    <xf numFmtId="0" fontId="21" fillId="0" borderId="92" xfId="0" applyNumberFormat="1" applyFont="1" applyBorder="1" applyAlignment="1">
      <alignment vertical="center"/>
    </xf>
    <xf numFmtId="0" fontId="21" fillId="0" borderId="32" xfId="0" applyFont="1" applyFill="1" applyBorder="1" applyAlignment="1">
      <alignment vertical="center"/>
    </xf>
    <xf numFmtId="0" fontId="21" fillId="0" borderId="93" xfId="0" applyNumberFormat="1" applyFont="1" applyBorder="1" applyAlignment="1">
      <alignment vertical="center"/>
    </xf>
    <xf numFmtId="184" fontId="15" fillId="0" borderId="94" xfId="0" applyNumberFormat="1" applyFont="1" applyFill="1" applyBorder="1" applyAlignment="1" quotePrefix="1">
      <alignment vertical="center"/>
    </xf>
    <xf numFmtId="184" fontId="15" fillId="0" borderId="88" xfId="0" applyNumberFormat="1" applyFont="1" applyBorder="1" applyAlignment="1" quotePrefix="1">
      <alignment vertical="center"/>
    </xf>
    <xf numFmtId="184" fontId="15" fillId="0" borderId="95" xfId="0" applyNumberFormat="1" applyFont="1" applyFill="1" applyBorder="1" applyAlignment="1" quotePrefix="1">
      <alignment vertical="center"/>
    </xf>
    <xf numFmtId="184" fontId="15" fillId="0" borderId="96" xfId="0" applyNumberFormat="1" applyFont="1" applyFill="1" applyBorder="1" applyAlignment="1">
      <alignment horizontal="right" vertical="center"/>
    </xf>
    <xf numFmtId="184" fontId="15" fillId="0" borderId="88" xfId="0" applyNumberFormat="1" applyFont="1" applyBorder="1" applyAlignment="1" quotePrefix="1">
      <alignment vertical="center"/>
    </xf>
    <xf numFmtId="184" fontId="15" fillId="0" borderId="88" xfId="0" applyNumberFormat="1" applyFont="1" applyFill="1" applyBorder="1" applyAlignment="1" quotePrefix="1">
      <alignment vertical="center"/>
    </xf>
    <xf numFmtId="184" fontId="15" fillId="0" borderId="96" xfId="0" applyNumberFormat="1" applyFont="1" applyFill="1" applyBorder="1" applyAlignment="1" quotePrefix="1">
      <alignment vertical="center"/>
    </xf>
    <xf numFmtId="184" fontId="15" fillId="0" borderId="95" xfId="0" applyNumberFormat="1" applyFont="1" applyFill="1" applyBorder="1" applyAlignment="1">
      <alignment horizontal="right" vertical="center"/>
    </xf>
    <xf numFmtId="0" fontId="82" fillId="0" borderId="0" xfId="73" applyFont="1" applyBorder="1" applyAlignment="1">
      <alignment vertical="center"/>
      <protection/>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28" fillId="0" borderId="0" xfId="0" applyFont="1" applyFill="1" applyAlignment="1">
      <alignment horizontal="center" vertical="center"/>
    </xf>
    <xf numFmtId="0" fontId="11" fillId="0" borderId="0" xfId="0" applyFont="1" applyBorder="1" applyAlignment="1">
      <alignment horizontal="right" vertical="center"/>
    </xf>
    <xf numFmtId="1" fontId="0" fillId="41" borderId="86" xfId="0" applyNumberFormat="1" applyFill="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xf numFmtId="0" fontId="0" fillId="0" borderId="55" xfId="0" applyBorder="1" applyAlignment="1">
      <alignment horizontal="left" vertical="center"/>
    </xf>
    <xf numFmtId="1" fontId="0" fillId="41" borderId="49" xfId="0" applyNumberFormat="1" applyFill="1" applyBorder="1" applyAlignment="1">
      <alignment horizontal="center" vertical="center"/>
    </xf>
    <xf numFmtId="0" fontId="0" fillId="0" borderId="59" xfId="0" applyFont="1" applyBorder="1" applyAlignment="1">
      <alignment horizontal="center" vertical="center"/>
    </xf>
    <xf numFmtId="0" fontId="0" fillId="0" borderId="99" xfId="0"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1" fontId="0" fillId="41" borderId="56" xfId="0" applyNumberFormat="1" applyFill="1" applyBorder="1" applyAlignment="1">
      <alignment horizontal="center" vertical="center"/>
    </xf>
    <xf numFmtId="1" fontId="0" fillId="41" borderId="57" xfId="0" applyNumberFormat="1" applyFill="1" applyBorder="1" applyAlignment="1">
      <alignment horizontal="center" vertical="center"/>
    </xf>
    <xf numFmtId="0" fontId="0" fillId="0" borderId="77" xfId="0" applyFont="1" applyBorder="1" applyAlignment="1">
      <alignment horizontal="center" vertical="center"/>
    </xf>
    <xf numFmtId="0" fontId="0" fillId="0" borderId="102" xfId="0" applyFont="1" applyBorder="1" applyAlignment="1">
      <alignment horizontal="center" vertical="center"/>
    </xf>
    <xf numFmtId="1" fontId="0" fillId="41" borderId="103" xfId="0" applyNumberFormat="1" applyFill="1" applyBorder="1" applyAlignment="1">
      <alignment horizontal="center" vertical="center"/>
    </xf>
    <xf numFmtId="1" fontId="0" fillId="41" borderId="104" xfId="0" applyNumberFormat="1" applyFill="1" applyBorder="1" applyAlignment="1">
      <alignment horizontal="center" vertical="center"/>
    </xf>
    <xf numFmtId="1" fontId="0" fillId="41" borderId="105" xfId="0" applyNumberFormat="1" applyFill="1" applyBorder="1" applyAlignment="1">
      <alignment horizontal="center" vertical="center"/>
    </xf>
    <xf numFmtId="1" fontId="0" fillId="41" borderId="0" xfId="0" applyNumberFormat="1" applyFill="1" applyBorder="1" applyAlignment="1">
      <alignment horizontal="center" vertical="center"/>
    </xf>
    <xf numFmtId="1" fontId="0" fillId="41" borderId="106" xfId="0" applyNumberFormat="1" applyFill="1" applyBorder="1" applyAlignment="1">
      <alignment horizontal="center" vertical="center"/>
    </xf>
    <xf numFmtId="1" fontId="0" fillId="41" borderId="107" xfId="0" applyNumberFormat="1" applyFill="1" applyBorder="1" applyAlignment="1">
      <alignment horizontal="center" vertical="center"/>
    </xf>
    <xf numFmtId="1" fontId="0" fillId="41" borderId="75" xfId="0" applyNumberFormat="1" applyFill="1" applyBorder="1" applyAlignment="1">
      <alignment horizontal="center" vertical="center"/>
    </xf>
    <xf numFmtId="0" fontId="15" fillId="0" borderId="0" xfId="0" applyFont="1" applyFill="1" applyAlignment="1">
      <alignment horizontal="left" vertical="center"/>
    </xf>
    <xf numFmtId="0" fontId="19" fillId="0" borderId="0" xfId="0" applyFont="1" applyBorder="1" applyAlignment="1">
      <alignment horizontal="right" vertical="center"/>
    </xf>
    <xf numFmtId="0" fontId="6" fillId="0" borderId="0" xfId="0" applyFont="1" applyBorder="1" applyAlignment="1">
      <alignment horizontal="right" vertical="center"/>
    </xf>
    <xf numFmtId="1" fontId="0" fillId="0" borderId="0" xfId="0" applyNumberFormat="1" applyFill="1" applyBorder="1" applyAlignment="1">
      <alignment vertical="center"/>
    </xf>
    <xf numFmtId="3" fontId="6" fillId="0" borderId="0" xfId="71" applyNumberFormat="1" applyFont="1" applyFill="1" applyBorder="1" applyAlignment="1">
      <alignment horizontal="center" vertical="center"/>
      <protection/>
    </xf>
    <xf numFmtId="1" fontId="0" fillId="0" borderId="0" xfId="0" applyNumberFormat="1" applyFill="1" applyBorder="1" applyAlignment="1">
      <alignment horizontal="center" vertical="center"/>
    </xf>
    <xf numFmtId="3" fontId="6" fillId="0" borderId="0" xfId="0" applyNumberFormat="1" applyFont="1" applyFill="1" applyBorder="1" applyAlignment="1">
      <alignment horizontal="center" vertical="center"/>
    </xf>
    <xf numFmtId="0" fontId="0" fillId="0" borderId="58" xfId="0" applyFont="1" applyBorder="1" applyAlignment="1">
      <alignment horizontal="center" vertical="center"/>
    </xf>
    <xf numFmtId="3" fontId="0" fillId="0" borderId="0" xfId="0" applyNumberFormat="1" applyFill="1" applyBorder="1" applyAlignment="1">
      <alignment horizontal="center" vertical="center"/>
    </xf>
    <xf numFmtId="1" fontId="0" fillId="0" borderId="71" xfId="0" applyNumberFormat="1" applyFont="1" applyFill="1" applyBorder="1" applyAlignment="1">
      <alignment horizontal="center" vertical="center"/>
    </xf>
    <xf numFmtId="0" fontId="0" fillId="0" borderId="99" xfId="0" applyFont="1" applyBorder="1" applyAlignment="1">
      <alignment horizontal="center" vertical="center"/>
    </xf>
    <xf numFmtId="1" fontId="0" fillId="0" borderId="107" xfId="0" applyNumberFormat="1" applyFont="1" applyFill="1" applyBorder="1" applyAlignment="1">
      <alignment horizontal="center" vertical="center"/>
    </xf>
    <xf numFmtId="4" fontId="0" fillId="0" borderId="56" xfId="0" applyNumberFormat="1" applyFill="1" applyBorder="1" applyAlignment="1">
      <alignment horizontal="center" vertical="center"/>
    </xf>
    <xf numFmtId="4" fontId="0" fillId="0" borderId="0" xfId="0" applyNumberFormat="1" applyFill="1" applyBorder="1" applyAlignment="1">
      <alignment horizontal="center" vertical="center"/>
    </xf>
    <xf numFmtId="2" fontId="0" fillId="0" borderId="0" xfId="0" applyNumberFormat="1" applyFont="1" applyFill="1" applyBorder="1" applyAlignment="1">
      <alignment horizontal="center" vertical="center"/>
    </xf>
    <xf numFmtId="0" fontId="6" fillId="0" borderId="56"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ill="1" applyBorder="1" applyAlignment="1">
      <alignment horizontal="center" vertical="center"/>
    </xf>
    <xf numFmtId="3" fontId="6" fillId="0" borderId="56" xfId="0" applyNumberFormat="1" applyFont="1" applyFill="1" applyBorder="1" applyAlignment="1">
      <alignment horizontal="center" vertical="center"/>
    </xf>
    <xf numFmtId="0" fontId="0" fillId="0" borderId="0" xfId="0" applyFont="1" applyFill="1" applyBorder="1" applyAlignment="1">
      <alignment vertical="center"/>
    </xf>
    <xf numFmtId="3" fontId="6" fillId="0" borderId="50" xfId="0" applyNumberFormat="1" applyFont="1" applyFill="1" applyBorder="1" applyAlignment="1">
      <alignment horizontal="center" vertical="center"/>
    </xf>
    <xf numFmtId="3" fontId="6" fillId="0" borderId="48"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169" fontId="0" fillId="0" borderId="0" xfId="0" applyNumberFormat="1" applyFill="1" applyBorder="1" applyAlignment="1">
      <alignment horizontal="center" vertical="center"/>
    </xf>
    <xf numFmtId="3" fontId="0" fillId="0" borderId="0" xfId="0" applyNumberFormat="1" applyFont="1" applyFill="1" applyBorder="1" applyAlignment="1">
      <alignment horizontal="center" vertical="center"/>
    </xf>
    <xf numFmtId="1" fontId="0" fillId="0" borderId="0" xfId="0" applyNumberFormat="1" applyFont="1" applyFill="1" applyBorder="1" applyAlignment="1">
      <alignment vertical="center"/>
    </xf>
    <xf numFmtId="3" fontId="0" fillId="0" borderId="108" xfId="0" applyNumberFormat="1" applyFill="1" applyBorder="1" applyAlignment="1">
      <alignment horizontal="center" vertical="center"/>
    </xf>
    <xf numFmtId="0" fontId="0" fillId="0" borderId="108" xfId="0" applyBorder="1" applyAlignment="1">
      <alignment horizontal="center" vertical="center" wrapText="1"/>
    </xf>
    <xf numFmtId="0" fontId="0" fillId="0" borderId="108" xfId="0" applyFont="1" applyBorder="1" applyAlignment="1">
      <alignment horizontal="center" vertical="center" wrapText="1"/>
    </xf>
    <xf numFmtId="0" fontId="0" fillId="0" borderId="108" xfId="0" applyFont="1" applyBorder="1" applyAlignment="1">
      <alignment vertical="center" wrapText="1"/>
    </xf>
    <xf numFmtId="0" fontId="0" fillId="0" borderId="59" xfId="0" applyFont="1" applyBorder="1" applyAlignment="1">
      <alignment horizontal="center" vertical="center" wrapText="1"/>
    </xf>
    <xf numFmtId="0" fontId="83" fillId="0" borderId="0" xfId="72" applyFont="1" applyProtection="1">
      <alignment/>
      <protection locked="0"/>
    </xf>
    <xf numFmtId="0" fontId="33" fillId="0" borderId="0" xfId="67" applyFont="1" applyAlignment="1" applyProtection="1">
      <alignment vertical="center"/>
      <protection/>
    </xf>
    <xf numFmtId="179" fontId="21" fillId="0" borderId="8" xfId="47" applyNumberFormat="1" applyFont="1" applyBorder="1" applyAlignment="1">
      <alignment vertical="center"/>
    </xf>
    <xf numFmtId="0" fontId="28" fillId="0" borderId="0" xfId="0" applyFont="1" applyFill="1" applyAlignment="1">
      <alignment vertical="center"/>
    </xf>
    <xf numFmtId="0" fontId="19" fillId="0" borderId="0" xfId="0" applyFont="1" applyBorder="1" applyAlignment="1">
      <alignment vertical="center"/>
    </xf>
    <xf numFmtId="0" fontId="15" fillId="0" borderId="0" xfId="0" applyFont="1" applyFill="1" applyBorder="1" applyAlignment="1">
      <alignment vertical="top" wrapText="1"/>
    </xf>
    <xf numFmtId="0" fontId="28" fillId="0" borderId="0" xfId="0" applyFont="1" applyFill="1" applyBorder="1" applyAlignment="1">
      <alignment vertical="center"/>
    </xf>
    <xf numFmtId="0" fontId="34" fillId="0" borderId="0" xfId="0" applyFont="1" applyFill="1" applyAlignment="1">
      <alignment vertical="center"/>
    </xf>
    <xf numFmtId="184" fontId="15" fillId="0" borderId="88" xfId="0" applyNumberFormat="1" applyFont="1" applyFill="1" applyBorder="1" applyAlignment="1" quotePrefix="1">
      <alignment horizontal="center" vertical="center"/>
    </xf>
    <xf numFmtId="0" fontId="15" fillId="0" borderId="16" xfId="71" applyFont="1" applyFill="1" applyBorder="1" applyAlignment="1">
      <alignment vertical="center"/>
      <protection/>
    </xf>
    <xf numFmtId="0" fontId="15" fillId="0" borderId="8" xfId="71" applyFont="1" applyFill="1" applyBorder="1" applyAlignment="1">
      <alignment vertical="center"/>
      <protection/>
    </xf>
    <xf numFmtId="0" fontId="15" fillId="0" borderId="8" xfId="71" applyFont="1" applyBorder="1" applyAlignment="1">
      <alignment vertical="center"/>
      <protection/>
    </xf>
    <xf numFmtId="0" fontId="15" fillId="0" borderId="8" xfId="71" applyFont="1" applyFill="1" applyBorder="1" applyAlignment="1">
      <alignment vertical="center" wrapText="1"/>
      <protection/>
    </xf>
    <xf numFmtId="0" fontId="15" fillId="0" borderId="8" xfId="71" applyFont="1" applyBorder="1" applyAlignment="1">
      <alignment vertical="center" wrapText="1"/>
      <protection/>
    </xf>
    <xf numFmtId="0" fontId="0" fillId="0" borderId="0" xfId="0" applyBorder="1" applyAlignment="1">
      <alignment/>
    </xf>
    <xf numFmtId="0" fontId="15" fillId="0" borderId="16" xfId="0" applyFont="1" applyBorder="1" applyAlignment="1">
      <alignment horizontal="center" vertical="center"/>
    </xf>
    <xf numFmtId="7" fontId="15" fillId="0" borderId="49" xfId="47" applyFont="1" applyFill="1" applyBorder="1" applyAlignment="1">
      <alignment horizontal="center" vertical="center"/>
    </xf>
    <xf numFmtId="0" fontId="15" fillId="0" borderId="47" xfId="0" applyFont="1" applyBorder="1" applyAlignment="1">
      <alignment horizontal="center" vertical="center"/>
    </xf>
    <xf numFmtId="0" fontId="15" fillId="0" borderId="31" xfId="0" applyFont="1" applyBorder="1" applyAlignment="1">
      <alignment horizontal="center" vertical="center"/>
    </xf>
    <xf numFmtId="0" fontId="15" fillId="0" borderId="17" xfId="0" applyFont="1" applyBorder="1" applyAlignment="1">
      <alignment horizontal="center" vertical="center"/>
    </xf>
    <xf numFmtId="7" fontId="15" fillId="0" borderId="18" xfId="47" applyFont="1" applyFill="1" applyBorder="1" applyAlignment="1">
      <alignment horizontal="center" vertical="center"/>
    </xf>
    <xf numFmtId="0" fontId="0" fillId="0" borderId="40" xfId="0" applyFill="1" applyBorder="1" applyAlignment="1">
      <alignment horizontal="center" vertical="center"/>
    </xf>
    <xf numFmtId="0" fontId="15" fillId="0" borderId="29" xfId="0" applyFont="1" applyBorder="1" applyAlignment="1">
      <alignment horizontal="center" vertical="center"/>
    </xf>
    <xf numFmtId="169" fontId="0" fillId="0" borderId="20" xfId="0" applyNumberFormat="1" applyFill="1" applyBorder="1" applyAlignment="1">
      <alignment horizontal="center" vertical="center"/>
    </xf>
    <xf numFmtId="169" fontId="0" fillId="0" borderId="53" xfId="0" applyNumberFormat="1" applyFill="1" applyBorder="1" applyAlignment="1">
      <alignment horizontal="center" vertical="center"/>
    </xf>
    <xf numFmtId="0" fontId="28" fillId="46" borderId="0" xfId="0" applyFont="1" applyFill="1" applyAlignment="1">
      <alignment horizontal="center" vertical="center"/>
    </xf>
    <xf numFmtId="0" fontId="34" fillId="46" borderId="0" xfId="0" applyFont="1" applyFill="1" applyAlignment="1">
      <alignment horizontal="center" vertical="center"/>
    </xf>
    <xf numFmtId="0" fontId="31" fillId="0" borderId="0" xfId="0" applyFont="1" applyAlignment="1">
      <alignment horizontal="left" vertical="center"/>
    </xf>
    <xf numFmtId="0" fontId="6" fillId="0" borderId="0" xfId="0" applyFont="1" applyAlignment="1">
      <alignment horizontal="center" vertical="center" wrapText="1"/>
    </xf>
    <xf numFmtId="0" fontId="0" fillId="0" borderId="0" xfId="0" applyFont="1" applyFill="1" applyBorder="1" applyAlignment="1">
      <alignment vertical="center" wrapText="1"/>
    </xf>
    <xf numFmtId="0" fontId="30" fillId="46" borderId="0" xfId="0" applyFont="1" applyFill="1" applyAlignment="1">
      <alignment horizontal="center" vertical="center"/>
    </xf>
    <xf numFmtId="0" fontId="3" fillId="0" borderId="0" xfId="73" applyFont="1" applyBorder="1" applyAlignment="1">
      <alignment horizontal="center" vertical="center" wrapText="1"/>
      <protection/>
    </xf>
    <xf numFmtId="0" fontId="6" fillId="0" borderId="99" xfId="0" applyFont="1" applyFill="1" applyBorder="1" applyAlignment="1">
      <alignment horizontal="center" vertical="center"/>
    </xf>
    <xf numFmtId="0" fontId="3" fillId="0" borderId="0" xfId="73" applyFont="1" applyBorder="1" applyAlignment="1">
      <alignment horizontal="center" vertical="center"/>
      <protection/>
    </xf>
    <xf numFmtId="0" fontId="6" fillId="0" borderId="0" xfId="73" applyFont="1" applyBorder="1" applyAlignment="1">
      <alignment horizontal="center" vertical="center"/>
      <protection/>
    </xf>
    <xf numFmtId="179" fontId="0" fillId="0" borderId="0" xfId="73" applyNumberFormat="1" applyBorder="1" applyAlignment="1">
      <alignment horizontal="center" vertical="center"/>
      <protection/>
    </xf>
    <xf numFmtId="10" fontId="0" fillId="0" borderId="0" xfId="77" applyFont="1" applyBorder="1" applyAlignment="1">
      <alignment horizontal="center" vertical="center"/>
    </xf>
    <xf numFmtId="0" fontId="0" fillId="0" borderId="0" xfId="0" applyAlignment="1">
      <alignment vertical="top"/>
    </xf>
    <xf numFmtId="0" fontId="0" fillId="0" borderId="0" xfId="0" applyAlignment="1" quotePrefix="1">
      <alignment vertical="top"/>
    </xf>
    <xf numFmtId="0" fontId="11" fillId="0" borderId="107" xfId="0" applyFont="1" applyBorder="1" applyAlignment="1">
      <alignment horizontal="left" vertical="center" wrapText="1"/>
    </xf>
    <xf numFmtId="0" fontId="11" fillId="0" borderId="98" xfId="0" applyFont="1" applyBorder="1" applyAlignment="1">
      <alignment horizontal="left" vertical="center" wrapText="1"/>
    </xf>
    <xf numFmtId="0" fontId="0" fillId="0" borderId="98" xfId="0" applyFont="1" applyBorder="1" applyAlignment="1">
      <alignment horizontal="lef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Alignment="1">
      <alignment horizontal="center" vertical="center"/>
    </xf>
    <xf numFmtId="0" fontId="0" fillId="0" borderId="0" xfId="0" applyFont="1" applyAlignment="1">
      <alignment vertical="top"/>
    </xf>
    <xf numFmtId="173" fontId="15" fillId="0" borderId="109" xfId="47" applyNumberFormat="1" applyFont="1" applyBorder="1" applyAlignment="1">
      <alignment horizontal="center" vertical="center"/>
    </xf>
    <xf numFmtId="5" fontId="0" fillId="0" borderId="0" xfId="47" applyNumberFormat="1" applyFont="1" applyBorder="1" applyAlignment="1">
      <alignment horizontal="center" vertical="center"/>
    </xf>
    <xf numFmtId="173" fontId="15" fillId="0" borderId="8" xfId="47" applyNumberFormat="1" applyFont="1" applyBorder="1" applyAlignment="1">
      <alignment horizontal="center" vertical="center"/>
    </xf>
    <xf numFmtId="173" fontId="15" fillId="0" borderId="8" xfId="47" applyNumberFormat="1" applyFont="1" applyFill="1" applyBorder="1" applyAlignment="1">
      <alignment horizontal="center" vertical="center"/>
    </xf>
    <xf numFmtId="173" fontId="15" fillId="0" borderId="12" xfId="47" applyNumberFormat="1" applyFont="1" applyBorder="1" applyAlignment="1">
      <alignment horizontal="center" vertical="center"/>
    </xf>
    <xf numFmtId="0" fontId="7" fillId="0" borderId="0" xfId="0" applyFont="1" applyBorder="1" applyAlignment="1">
      <alignment horizontal="center" vertical="center"/>
    </xf>
    <xf numFmtId="173" fontId="15" fillId="2" borderId="8" xfId="47" applyNumberFormat="1" applyFont="1" applyFill="1" applyBorder="1" applyAlignment="1">
      <alignment horizontal="center" vertical="center"/>
    </xf>
    <xf numFmtId="173" fontId="84" fillId="3" borderId="98" xfId="47" applyNumberFormat="1" applyFont="1" applyFill="1" applyBorder="1" applyAlignment="1">
      <alignment horizontal="center" vertical="center"/>
    </xf>
    <xf numFmtId="173" fontId="15" fillId="0" borderId="8" xfId="49" applyNumberFormat="1" applyFont="1" applyFill="1" applyBorder="1" applyAlignment="1">
      <alignment vertical="center"/>
    </xf>
    <xf numFmtId="173" fontId="15" fillId="0" borderId="8" xfId="49" applyNumberFormat="1" applyFont="1" applyBorder="1" applyAlignment="1">
      <alignment vertical="center"/>
    </xf>
    <xf numFmtId="3" fontId="15" fillId="0" borderId="8" xfId="49" applyNumberFormat="1" applyFont="1" applyFill="1" applyBorder="1" applyAlignment="1">
      <alignment horizontal="center" vertical="center"/>
    </xf>
    <xf numFmtId="0" fontId="15" fillId="0" borderId="12" xfId="0" applyFont="1" applyFill="1" applyBorder="1" applyAlignment="1">
      <alignment vertical="center"/>
    </xf>
    <xf numFmtId="3" fontId="15" fillId="0" borderId="12" xfId="49" applyNumberFormat="1" applyFont="1" applyFill="1" applyBorder="1" applyAlignment="1">
      <alignment horizontal="center" vertical="center"/>
    </xf>
    <xf numFmtId="0" fontId="15" fillId="0" borderId="17" xfId="0" applyFont="1" applyBorder="1" applyAlignment="1">
      <alignment vertical="center"/>
    </xf>
    <xf numFmtId="0" fontId="21" fillId="47" borderId="0" xfId="0" applyNumberFormat="1" applyFont="1" applyFill="1" applyBorder="1" applyAlignment="1">
      <alignment vertical="center"/>
    </xf>
    <xf numFmtId="179" fontId="19" fillId="47" borderId="110" xfId="47" applyNumberFormat="1" applyFont="1" applyFill="1" applyBorder="1" applyAlignment="1">
      <alignment horizontal="center" vertical="center"/>
    </xf>
    <xf numFmtId="0" fontId="21" fillId="47" borderId="110" xfId="0" applyFont="1" applyFill="1" applyBorder="1" applyAlignment="1">
      <alignment vertical="center"/>
    </xf>
    <xf numFmtId="3" fontId="15" fillId="47" borderId="0" xfId="0" applyNumberFormat="1" applyFont="1" applyFill="1" applyBorder="1" applyAlignment="1">
      <alignment horizontal="center" vertical="center"/>
    </xf>
    <xf numFmtId="173" fontId="15" fillId="47" borderId="0" xfId="0" applyNumberFormat="1" applyFont="1" applyFill="1" applyBorder="1" applyAlignment="1">
      <alignment horizontal="center" vertical="center"/>
    </xf>
    <xf numFmtId="184" fontId="15" fillId="0" borderId="23" xfId="0" applyNumberFormat="1" applyFont="1" applyBorder="1" applyAlignment="1" quotePrefix="1">
      <alignment vertical="center"/>
    </xf>
    <xf numFmtId="0" fontId="15" fillId="0" borderId="55" xfId="0" applyFont="1" applyFill="1" applyBorder="1" applyAlignment="1">
      <alignment vertical="center" wrapText="1"/>
    </xf>
    <xf numFmtId="184" fontId="15" fillId="0" borderId="23" xfId="0" applyNumberFormat="1" applyFont="1" applyBorder="1" applyAlignment="1">
      <alignment horizontal="right" vertical="center"/>
    </xf>
    <xf numFmtId="184" fontId="15" fillId="0" borderId="111" xfId="0" applyNumberFormat="1" applyFont="1" applyBorder="1" applyAlignment="1" quotePrefix="1">
      <alignment vertical="center"/>
    </xf>
    <xf numFmtId="0" fontId="15" fillId="0" borderId="112" xfId="0" applyFont="1" applyFill="1" applyBorder="1" applyAlignment="1">
      <alignment vertical="center" wrapText="1"/>
    </xf>
    <xf numFmtId="0" fontId="21" fillId="0" borderId="86" xfId="0" applyNumberFormat="1" applyFont="1" applyBorder="1" applyAlignment="1">
      <alignment vertical="center"/>
    </xf>
    <xf numFmtId="173" fontId="15" fillId="14" borderId="49" xfId="0" applyNumberFormat="1" applyFont="1" applyFill="1" applyBorder="1" applyAlignment="1">
      <alignment horizontal="center" vertical="center"/>
    </xf>
    <xf numFmtId="179" fontId="19" fillId="15" borderId="108" xfId="47" applyNumberFormat="1" applyFont="1" applyFill="1" applyBorder="1" applyAlignment="1">
      <alignment horizontal="center" vertical="center"/>
    </xf>
    <xf numFmtId="0" fontId="15" fillId="0" borderId="66" xfId="0" applyFont="1" applyFill="1" applyBorder="1" applyAlignment="1">
      <alignment vertical="center" wrapText="1"/>
    </xf>
    <xf numFmtId="184" fontId="15" fillId="0" borderId="23" xfId="0" applyNumberFormat="1" applyFont="1" applyBorder="1" applyAlignment="1" quotePrefix="1">
      <alignment vertical="center"/>
    </xf>
    <xf numFmtId="184" fontId="15" fillId="0" borderId="23" xfId="0" applyNumberFormat="1" applyFont="1" applyBorder="1" applyAlignment="1">
      <alignment horizontal="right" vertical="center"/>
    </xf>
    <xf numFmtId="184" fontId="15" fillId="0" borderId="111" xfId="0" applyNumberFormat="1" applyFont="1" applyBorder="1" applyAlignment="1" quotePrefix="1">
      <alignment vertical="center"/>
    </xf>
    <xf numFmtId="3" fontId="15" fillId="0" borderId="49" xfId="0" applyNumberFormat="1" applyFont="1" applyFill="1" applyBorder="1" applyAlignment="1">
      <alignment vertical="center"/>
    </xf>
    <xf numFmtId="7" fontId="15" fillId="0" borderId="21" xfId="49" applyFont="1" applyFill="1" applyBorder="1" applyAlignment="1">
      <alignment vertical="center"/>
    </xf>
    <xf numFmtId="173" fontId="15" fillId="0" borderId="49" xfId="0" applyNumberFormat="1" applyFont="1" applyBorder="1" applyAlignment="1">
      <alignment vertical="center"/>
    </xf>
    <xf numFmtId="179" fontId="19" fillId="0" borderId="108" xfId="49" applyNumberFormat="1" applyFont="1" applyBorder="1" applyAlignment="1">
      <alignment vertical="center"/>
    </xf>
    <xf numFmtId="173" fontId="15" fillId="0" borderId="8" xfId="47" applyNumberFormat="1" applyFont="1" applyFill="1" applyBorder="1" applyAlignment="1">
      <alignment horizontal="center" vertical="center"/>
    </xf>
    <xf numFmtId="0" fontId="4" fillId="0" borderId="113" xfId="0" applyNumberFormat="1" applyFont="1" applyBorder="1" applyAlignment="1">
      <alignment horizontal="center" vertical="center"/>
    </xf>
    <xf numFmtId="0" fontId="15" fillId="0" borderId="28" xfId="0" applyFont="1" applyFill="1" applyBorder="1" applyAlignment="1">
      <alignment vertical="center"/>
    </xf>
    <xf numFmtId="3" fontId="15" fillId="0" borderId="28" xfId="0" applyNumberFormat="1" applyFont="1" applyFill="1" applyBorder="1" applyAlignment="1">
      <alignment horizontal="center" vertical="center"/>
    </xf>
    <xf numFmtId="0" fontId="15" fillId="0" borderId="28" xfId="0" applyFont="1" applyBorder="1" applyAlignment="1">
      <alignment horizontal="center" vertical="center"/>
    </xf>
    <xf numFmtId="7" fontId="15" fillId="0" borderId="28" xfId="47" applyFont="1" applyFill="1" applyBorder="1" applyAlignment="1">
      <alignment horizontal="center" vertical="center"/>
    </xf>
    <xf numFmtId="173" fontId="4" fillId="0" borderId="114" xfId="0" applyNumberFormat="1" applyFont="1" applyBorder="1" applyAlignment="1">
      <alignment horizontal="center" vertical="center"/>
    </xf>
    <xf numFmtId="0" fontId="19" fillId="0" borderId="23" xfId="0" applyNumberFormat="1" applyFont="1" applyFill="1" applyBorder="1" applyAlignment="1">
      <alignment vertical="center"/>
    </xf>
    <xf numFmtId="184" fontId="15" fillId="0" borderId="23" xfId="0" applyNumberFormat="1" applyFont="1" applyFill="1" applyBorder="1" applyAlignment="1" quotePrefix="1">
      <alignment vertical="center"/>
    </xf>
    <xf numFmtId="184" fontId="15" fillId="0" borderId="78" xfId="0" applyNumberFormat="1" applyFont="1" applyFill="1" applyBorder="1" applyAlignment="1" quotePrefix="1">
      <alignment vertical="center"/>
    </xf>
    <xf numFmtId="184" fontId="15" fillId="0" borderId="111" xfId="0" applyNumberFormat="1" applyFont="1" applyFill="1" applyBorder="1" applyAlignment="1" quotePrefix="1">
      <alignment vertical="center"/>
    </xf>
    <xf numFmtId="7" fontId="15" fillId="0" borderId="21" xfId="47" applyFont="1" applyFill="1" applyBorder="1" applyAlignment="1">
      <alignment vertical="center"/>
    </xf>
    <xf numFmtId="173" fontId="15" fillId="0" borderId="49" xfId="0" applyNumberFormat="1" applyFont="1" applyBorder="1" applyAlignment="1">
      <alignment horizontal="center" vertical="center"/>
    </xf>
    <xf numFmtId="179" fontId="19" fillId="0" borderId="108" xfId="47" applyNumberFormat="1" applyFont="1" applyBorder="1" applyAlignment="1">
      <alignment horizontal="center" vertical="center"/>
    </xf>
    <xf numFmtId="179" fontId="19" fillId="0" borderId="21" xfId="47" applyNumberFormat="1" applyFont="1" applyBorder="1" applyAlignment="1">
      <alignment horizontal="center" vertical="center"/>
    </xf>
    <xf numFmtId="184" fontId="15" fillId="0" borderId="23" xfId="0" applyNumberFormat="1" applyFont="1" applyFill="1" applyBorder="1" applyAlignment="1" quotePrefix="1">
      <alignment horizontal="center" vertical="center"/>
    </xf>
    <xf numFmtId="0" fontId="21" fillId="47" borderId="0" xfId="0" applyFont="1" applyFill="1" applyBorder="1" applyAlignment="1">
      <alignment vertical="center"/>
    </xf>
    <xf numFmtId="179" fontId="19" fillId="47" borderId="0" xfId="47" applyNumberFormat="1" applyFont="1" applyFill="1" applyBorder="1" applyAlignment="1">
      <alignment horizontal="center" vertical="center"/>
    </xf>
    <xf numFmtId="0" fontId="15" fillId="47" borderId="0" xfId="0" applyFont="1" applyFill="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14" borderId="27" xfId="0" applyFont="1" applyFill="1" applyBorder="1" applyAlignment="1">
      <alignment horizontal="center" vertical="center"/>
    </xf>
    <xf numFmtId="0" fontId="3" fillId="15" borderId="115" xfId="0" applyFont="1" applyFill="1" applyBorder="1" applyAlignment="1">
      <alignment horizontal="center" vertical="center"/>
    </xf>
    <xf numFmtId="0" fontId="3" fillId="0" borderId="116" xfId="0" applyFont="1" applyBorder="1" applyAlignment="1">
      <alignment vertical="center"/>
    </xf>
    <xf numFmtId="3" fontId="85" fillId="48" borderId="115" xfId="0" applyNumberFormat="1" applyFont="1" applyFill="1" applyBorder="1" applyAlignment="1">
      <alignment vertical="center"/>
    </xf>
    <xf numFmtId="7" fontId="85" fillId="48" borderId="115" xfId="49" applyFont="1" applyFill="1" applyBorder="1" applyAlignment="1">
      <alignment vertical="center"/>
    </xf>
    <xf numFmtId="173" fontId="85" fillId="48" borderId="115" xfId="0" applyNumberFormat="1" applyFont="1" applyFill="1" applyBorder="1" applyAlignment="1">
      <alignment vertical="center"/>
    </xf>
    <xf numFmtId="179" fontId="86" fillId="48" borderId="27" xfId="49" applyNumberFormat="1" applyFont="1" applyFill="1" applyBorder="1" applyAlignment="1">
      <alignment vertical="center"/>
    </xf>
    <xf numFmtId="0" fontId="3" fillId="49" borderId="27" xfId="0" applyFont="1" applyFill="1" applyBorder="1" applyAlignment="1">
      <alignment horizontal="center" vertical="center"/>
    </xf>
    <xf numFmtId="0" fontId="0" fillId="0" borderId="117" xfId="0" applyBorder="1" applyAlignment="1" applyProtection="1">
      <alignment vertical="center"/>
      <protection locked="0"/>
    </xf>
    <xf numFmtId="0" fontId="7" fillId="0" borderId="55" xfId="0" applyFont="1" applyFill="1" applyBorder="1" applyAlignment="1" applyProtection="1">
      <alignment vertical="center" wrapText="1"/>
      <protection locked="0"/>
    </xf>
    <xf numFmtId="0" fontId="7" fillId="0" borderId="101" xfId="0"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5" fontId="6" fillId="0" borderId="0" xfId="49"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5" fontId="6" fillId="0" borderId="0" xfId="0" applyNumberFormat="1"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21" fillId="50" borderId="117" xfId="0" applyFont="1" applyFill="1" applyBorder="1" applyAlignment="1">
      <alignment vertical="center" wrapText="1"/>
    </xf>
    <xf numFmtId="0" fontId="0" fillId="0" borderId="66" xfId="0" applyBorder="1" applyAlignment="1" applyProtection="1">
      <alignment vertical="center"/>
      <protection locked="0"/>
    </xf>
    <xf numFmtId="0" fontId="15" fillId="0" borderId="27" xfId="0" applyFont="1" applyBorder="1" applyAlignment="1">
      <alignment vertical="center"/>
    </xf>
    <xf numFmtId="179" fontId="21" fillId="2" borderId="27" xfId="47" applyNumberFormat="1" applyFont="1" applyFill="1" applyBorder="1" applyAlignment="1">
      <alignment vertical="center"/>
    </xf>
    <xf numFmtId="179" fontId="21" fillId="2" borderId="27" xfId="0" applyNumberFormat="1" applyFont="1" applyFill="1" applyBorder="1" applyAlignment="1">
      <alignment vertical="center"/>
    </xf>
    <xf numFmtId="0" fontId="6" fillId="0" borderId="118" xfId="0" applyFont="1" applyBorder="1" applyAlignment="1" applyProtection="1">
      <alignment vertical="center"/>
      <protection locked="0"/>
    </xf>
    <xf numFmtId="0" fontId="3" fillId="51" borderId="27" xfId="0" applyFont="1" applyFill="1" applyBorder="1" applyAlignment="1" applyProtection="1">
      <alignment horizontal="center" vertical="center"/>
      <protection locked="0"/>
    </xf>
    <xf numFmtId="0" fontId="3" fillId="52" borderId="27" xfId="0" applyFont="1" applyFill="1" applyBorder="1" applyAlignment="1" applyProtection="1">
      <alignment horizontal="center" vertical="center"/>
      <protection locked="0"/>
    </xf>
    <xf numFmtId="5" fontId="3" fillId="53" borderId="27" xfId="0" applyNumberFormat="1" applyFont="1" applyFill="1" applyBorder="1" applyAlignment="1" applyProtection="1">
      <alignment vertical="center"/>
      <protection locked="0"/>
    </xf>
    <xf numFmtId="5" fontId="3" fillId="53" borderId="118" xfId="0" applyNumberFormat="1" applyFont="1" applyFill="1" applyBorder="1" applyAlignment="1" applyProtection="1">
      <alignment vertical="center"/>
      <protection locked="0"/>
    </xf>
    <xf numFmtId="0" fontId="21" fillId="0" borderId="103" xfId="0" applyFont="1" applyBorder="1" applyAlignment="1">
      <alignment vertical="center"/>
    </xf>
    <xf numFmtId="0" fontId="15" fillId="0" borderId="56" xfId="0" applyFont="1" applyBorder="1" applyAlignment="1">
      <alignment vertical="center"/>
    </xf>
    <xf numFmtId="179" fontId="21" fillId="0" borderId="57" xfId="0" applyNumberFormat="1" applyFont="1" applyFill="1" applyBorder="1" applyAlignment="1">
      <alignment vertical="center"/>
    </xf>
    <xf numFmtId="0" fontId="15" fillId="0" borderId="65" xfId="0" applyFont="1" applyBorder="1" applyAlignment="1">
      <alignment vertical="center"/>
    </xf>
    <xf numFmtId="179" fontId="21" fillId="0" borderId="116" xfId="47" applyNumberFormat="1" applyFont="1" applyBorder="1" applyAlignment="1">
      <alignment vertical="center"/>
    </xf>
    <xf numFmtId="0" fontId="15" fillId="0" borderId="104" xfId="0" applyFont="1" applyBorder="1" applyAlignment="1">
      <alignment vertical="center"/>
    </xf>
    <xf numFmtId="0" fontId="21" fillId="0" borderId="0" xfId="0" applyFont="1" applyBorder="1" applyAlignment="1">
      <alignment vertical="center"/>
    </xf>
    <xf numFmtId="0" fontId="21" fillId="0" borderId="21" xfId="0" applyFont="1" applyBorder="1" applyAlignment="1">
      <alignment vertical="center"/>
    </xf>
    <xf numFmtId="0" fontId="21" fillId="0" borderId="115" xfId="0" applyFont="1" applyBorder="1" applyAlignment="1">
      <alignment horizontal="right" vertical="center"/>
    </xf>
    <xf numFmtId="179" fontId="21" fillId="0" borderId="57" xfId="47" applyNumberFormat="1" applyFont="1" applyFill="1" applyBorder="1" applyAlignment="1">
      <alignment vertical="center"/>
    </xf>
    <xf numFmtId="10" fontId="21" fillId="0" borderId="56" xfId="0" applyNumberFormat="1" applyFont="1" applyFill="1" applyBorder="1" applyAlignment="1">
      <alignment vertical="center"/>
    </xf>
    <xf numFmtId="179" fontId="21" fillId="0" borderId="66" xfId="47" applyNumberFormat="1" applyFont="1" applyFill="1" applyBorder="1" applyAlignment="1">
      <alignment vertical="center"/>
    </xf>
    <xf numFmtId="0" fontId="21" fillId="0" borderId="119" xfId="0" applyFont="1" applyBorder="1" applyAlignment="1">
      <alignment horizontal="right" vertical="center"/>
    </xf>
    <xf numFmtId="0" fontId="23" fillId="0" borderId="0" xfId="0" applyFont="1" applyAlignment="1">
      <alignment vertical="center"/>
    </xf>
    <xf numFmtId="0" fontId="11" fillId="0" borderId="0" xfId="0" applyFont="1" applyAlignment="1" applyProtection="1">
      <alignment vertical="center"/>
      <protection locked="0"/>
    </xf>
    <xf numFmtId="0" fontId="37" fillId="54" borderId="27" xfId="0" applyFont="1" applyFill="1" applyBorder="1" applyAlignment="1" applyProtection="1">
      <alignment horizontal="right" vertical="center"/>
      <protection locked="0"/>
    </xf>
    <xf numFmtId="5" fontId="37" fillId="55" borderId="27" xfId="0" applyNumberFormat="1" applyFont="1" applyFill="1" applyBorder="1" applyAlignment="1" applyProtection="1">
      <alignment vertical="center"/>
      <protection locked="0"/>
    </xf>
    <xf numFmtId="5" fontId="37" fillId="55" borderId="118" xfId="0" applyNumberFormat="1" applyFont="1" applyFill="1" applyBorder="1" applyAlignment="1" applyProtection="1">
      <alignment vertical="center"/>
      <protection locked="0"/>
    </xf>
    <xf numFmtId="0" fontId="3" fillId="56" borderId="27" xfId="0" applyFont="1" applyFill="1" applyBorder="1" applyAlignment="1" applyProtection="1">
      <alignment horizontal="right" vertical="center"/>
      <protection locked="0"/>
    </xf>
    <xf numFmtId="5" fontId="3" fillId="57" borderId="27" xfId="0" applyNumberFormat="1" applyFont="1" applyFill="1" applyBorder="1" applyAlignment="1" applyProtection="1">
      <alignment vertical="center"/>
      <protection locked="0"/>
    </xf>
    <xf numFmtId="5" fontId="3" fillId="57" borderId="118" xfId="0" applyNumberFormat="1" applyFont="1" applyFill="1" applyBorder="1" applyAlignment="1" applyProtection="1">
      <alignment vertical="center"/>
      <protection locked="0"/>
    </xf>
    <xf numFmtId="0" fontId="15" fillId="0" borderId="0" xfId="0" applyFont="1" applyFill="1" applyAlignment="1">
      <alignment vertical="center"/>
    </xf>
    <xf numFmtId="5" fontId="15" fillId="0" borderId="0" xfId="0" applyNumberFormat="1" applyFont="1" applyBorder="1" applyAlignment="1">
      <alignment vertical="center"/>
    </xf>
    <xf numFmtId="0" fontId="24" fillId="0" borderId="0" xfId="0" applyFont="1" applyBorder="1" applyAlignment="1">
      <alignment vertical="center"/>
    </xf>
    <xf numFmtId="0" fontId="15" fillId="0" borderId="0" xfId="0" applyFont="1" applyAlignment="1">
      <alignment vertical="center"/>
    </xf>
    <xf numFmtId="7" fontId="15" fillId="0" borderId="0" xfId="0" applyNumberFormat="1" applyFont="1" applyBorder="1" applyAlignment="1">
      <alignment vertical="center"/>
    </xf>
    <xf numFmtId="0" fontId="15" fillId="0" borderId="0" xfId="0" applyFont="1" applyBorder="1" applyAlignment="1">
      <alignment vertical="center"/>
    </xf>
    <xf numFmtId="14" fontId="23" fillId="0" borderId="0" xfId="0" applyNumberFormat="1" applyFont="1" applyAlignment="1">
      <alignment horizontal="center" vertical="center"/>
    </xf>
    <xf numFmtId="0" fontId="11" fillId="0" borderId="65" xfId="0" applyFont="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86" fillId="58" borderId="120" xfId="0" applyFont="1" applyFill="1" applyBorder="1" applyAlignment="1">
      <alignment horizontal="right" vertical="center"/>
    </xf>
    <xf numFmtId="179" fontId="86" fillId="58" borderId="120" xfId="0" applyNumberFormat="1" applyFont="1" applyFill="1" applyBorder="1" applyAlignment="1">
      <alignment vertical="center"/>
    </xf>
    <xf numFmtId="179" fontId="86" fillId="58" borderId="120" xfId="0" applyNumberFormat="1" applyFont="1" applyFill="1" applyBorder="1" applyAlignment="1">
      <alignment horizontal="right" vertical="center"/>
    </xf>
    <xf numFmtId="0" fontId="0" fillId="0" borderId="106" xfId="0" applyFont="1" applyBorder="1" applyAlignment="1">
      <alignment vertical="center"/>
    </xf>
    <xf numFmtId="0" fontId="0" fillId="0" borderId="0" xfId="0" applyFont="1" applyBorder="1" applyAlignment="1">
      <alignment horizontal="right" vertical="center"/>
    </xf>
    <xf numFmtId="0" fontId="0" fillId="0" borderId="98" xfId="0" applyFont="1" applyBorder="1" applyAlignment="1">
      <alignment vertical="center"/>
    </xf>
    <xf numFmtId="0" fontId="0" fillId="0" borderId="98" xfId="0" applyFont="1" applyBorder="1" applyAlignment="1">
      <alignment horizontal="right" vertical="center"/>
    </xf>
    <xf numFmtId="167" fontId="0" fillId="0" borderId="98" xfId="0" applyNumberFormat="1" applyFont="1" applyFill="1" applyBorder="1" applyAlignment="1">
      <alignment horizontal="center" vertical="center"/>
    </xf>
    <xf numFmtId="170" fontId="0" fillId="0" borderId="55" xfId="0" applyNumberFormat="1" applyFont="1" applyFill="1" applyBorder="1" applyAlignment="1">
      <alignment horizontal="center" vertical="center"/>
    </xf>
    <xf numFmtId="0" fontId="0" fillId="0" borderId="121" xfId="0" applyFont="1" applyBorder="1" applyAlignment="1">
      <alignment vertical="center"/>
    </xf>
    <xf numFmtId="0" fontId="0" fillId="0" borderId="98" xfId="0" applyNumberFormat="1" applyFont="1" applyFill="1" applyBorder="1" applyAlignment="1">
      <alignment horizontal="center" vertical="center"/>
    </xf>
    <xf numFmtId="0" fontId="0" fillId="0" borderId="55" xfId="0" applyFont="1" applyBorder="1" applyAlignment="1">
      <alignment vertical="center"/>
    </xf>
    <xf numFmtId="0" fontId="0" fillId="0" borderId="98" xfId="0" applyFont="1" applyFill="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00" xfId="0" applyFont="1" applyBorder="1" applyAlignment="1">
      <alignment vertical="center"/>
    </xf>
    <xf numFmtId="0" fontId="0" fillId="0" borderId="100" xfId="0" applyFont="1" applyBorder="1" applyAlignment="1">
      <alignment horizontal="right" vertical="center"/>
    </xf>
    <xf numFmtId="166" fontId="0" fillId="0" borderId="100" xfId="76" applyNumberFormat="1" applyFont="1" applyFill="1" applyBorder="1" applyAlignment="1">
      <alignment horizontal="center" vertical="center"/>
    </xf>
    <xf numFmtId="0" fontId="0" fillId="0" borderId="101" xfId="0" applyFont="1" applyBorder="1" applyAlignment="1">
      <alignment vertical="center"/>
    </xf>
    <xf numFmtId="7" fontId="0" fillId="0" borderId="0" xfId="47" applyFont="1" applyAlignment="1">
      <alignment vertical="center"/>
    </xf>
    <xf numFmtId="0" fontId="3" fillId="0" borderId="119" xfId="0" applyFont="1" applyBorder="1" applyAlignment="1">
      <alignment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70" xfId="0" applyFont="1" applyBorder="1" applyAlignment="1">
      <alignment vertical="center"/>
    </xf>
    <xf numFmtId="0" fontId="40" fillId="0" borderId="106" xfId="67" applyFont="1" applyFill="1" applyBorder="1" applyAlignment="1" applyProtection="1">
      <alignment vertical="center"/>
      <protection/>
    </xf>
    <xf numFmtId="0" fontId="40" fillId="0" borderId="98" xfId="67" applyFont="1" applyFill="1" applyBorder="1" applyAlignment="1" applyProtection="1">
      <alignment vertical="center"/>
      <protection/>
    </xf>
    <xf numFmtId="7" fontId="0" fillId="0" borderId="98" xfId="47" applyFont="1" applyFill="1" applyBorder="1" applyAlignment="1">
      <alignment vertical="center"/>
    </xf>
    <xf numFmtId="0" fontId="11" fillId="0" borderId="75" xfId="0" applyFont="1" applyBorder="1" applyAlignment="1">
      <alignment vertical="center"/>
    </xf>
    <xf numFmtId="179" fontId="40" fillId="0" borderId="98" xfId="67" applyNumberFormat="1" applyFont="1" applyBorder="1" applyAlignment="1" applyProtection="1">
      <alignment vertical="center"/>
      <protection/>
    </xf>
    <xf numFmtId="0" fontId="0" fillId="0" borderId="52" xfId="0" applyFont="1" applyFill="1" applyBorder="1" applyAlignment="1">
      <alignment vertical="center" wrapText="1"/>
    </xf>
    <xf numFmtId="0" fontId="40" fillId="0" borderId="107" xfId="67" applyFont="1" applyFill="1" applyBorder="1" applyAlignment="1" applyProtection="1">
      <alignment vertical="center"/>
      <protection/>
    </xf>
    <xf numFmtId="0" fontId="0" fillId="0" borderId="107" xfId="0" applyFont="1" applyFill="1" applyBorder="1" applyAlignment="1">
      <alignment vertical="center"/>
    </xf>
    <xf numFmtId="7" fontId="0" fillId="0" borderId="107" xfId="47" applyFont="1" applyFill="1" applyBorder="1" applyAlignment="1">
      <alignment vertical="center"/>
    </xf>
    <xf numFmtId="0" fontId="40" fillId="0" borderId="121" xfId="67" applyFont="1" applyBorder="1" applyAlignment="1" applyProtection="1">
      <alignment vertical="center"/>
      <protection/>
    </xf>
    <xf numFmtId="0" fontId="40" fillId="0" borderId="98" xfId="67" applyFont="1" applyBorder="1" applyAlignment="1" applyProtection="1">
      <alignment vertical="center"/>
      <protection/>
    </xf>
    <xf numFmtId="0" fontId="40" fillId="0" borderId="121" xfId="67" applyFont="1" applyFill="1" applyBorder="1" applyAlignment="1" applyProtection="1">
      <alignment vertical="center"/>
      <protection/>
    </xf>
    <xf numFmtId="0" fontId="40" fillId="0" borderId="124" xfId="67" applyFont="1" applyFill="1" applyBorder="1" applyAlignment="1" applyProtection="1">
      <alignment vertical="center"/>
      <protection/>
    </xf>
    <xf numFmtId="1" fontId="0" fillId="0" borderId="124" xfId="0" applyNumberFormat="1" applyFont="1" applyFill="1" applyBorder="1" applyAlignment="1">
      <alignment vertical="center"/>
    </xf>
    <xf numFmtId="7" fontId="0" fillId="0" borderId="124" xfId="47" applyFont="1" applyFill="1" applyBorder="1" applyAlignment="1">
      <alignment vertical="center"/>
    </xf>
    <xf numFmtId="0" fontId="0" fillId="0" borderId="79" xfId="0" applyFont="1" applyBorder="1" applyAlignment="1">
      <alignment vertical="center"/>
    </xf>
    <xf numFmtId="179" fontId="40" fillId="0" borderId="124" xfId="67" applyNumberFormat="1" applyFont="1" applyBorder="1" applyAlignment="1" applyProtection="1">
      <alignment vertical="center"/>
      <protection/>
    </xf>
    <xf numFmtId="0" fontId="0" fillId="0" borderId="80" xfId="0" applyFont="1" applyFill="1" applyBorder="1" applyAlignment="1">
      <alignment vertical="center" wrapText="1"/>
    </xf>
    <xf numFmtId="164" fontId="0" fillId="0" borderId="56" xfId="0" applyNumberFormat="1" applyFont="1" applyBorder="1" applyAlignment="1">
      <alignment vertical="center"/>
    </xf>
    <xf numFmtId="0" fontId="0" fillId="0" borderId="57" xfId="0" applyFont="1" applyBorder="1" applyAlignment="1">
      <alignment horizontal="right" vertical="center"/>
    </xf>
    <xf numFmtId="179" fontId="40" fillId="0" borderId="125" xfId="47" applyNumberFormat="1" applyFont="1" applyBorder="1" applyAlignment="1">
      <alignment vertical="center"/>
    </xf>
    <xf numFmtId="165" fontId="0" fillId="0" borderId="57" xfId="76" applyNumberFormat="1" applyFont="1" applyFill="1" applyBorder="1" applyAlignment="1">
      <alignment horizontal="center" vertical="center"/>
    </xf>
    <xf numFmtId="179" fontId="11" fillId="0" borderId="57" xfId="47" applyNumberFormat="1" applyFont="1" applyBorder="1" applyAlignment="1">
      <alignment vertical="center"/>
    </xf>
    <xf numFmtId="0" fontId="0" fillId="0" borderId="65" xfId="0" applyFont="1" applyBorder="1" applyAlignment="1">
      <alignment vertical="center"/>
    </xf>
    <xf numFmtId="0" fontId="6" fillId="0" borderId="101" xfId="0" applyFont="1" applyBorder="1" applyAlignment="1">
      <alignment horizontal="right" vertical="center"/>
    </xf>
    <xf numFmtId="179" fontId="3" fillId="0" borderId="101" xfId="47" applyNumberFormat="1" applyFont="1" applyBorder="1" applyAlignment="1">
      <alignment vertical="center"/>
    </xf>
    <xf numFmtId="0" fontId="0" fillId="0" borderId="76" xfId="0" applyFont="1" applyBorder="1" applyAlignment="1">
      <alignment vertical="center" wrapText="1"/>
    </xf>
    <xf numFmtId="164" fontId="11" fillId="59" borderId="119" xfId="0" applyNumberFormat="1" applyFont="1" applyFill="1" applyBorder="1" applyAlignment="1">
      <alignment vertical="center"/>
    </xf>
    <xf numFmtId="0" fontId="0" fillId="59" borderId="115" xfId="0" applyFont="1" applyFill="1" applyBorder="1" applyAlignment="1">
      <alignment vertical="center"/>
    </xf>
    <xf numFmtId="0" fontId="0" fillId="59" borderId="116" xfId="0" applyFont="1" applyFill="1" applyBorder="1" applyAlignment="1">
      <alignment horizontal="right" vertical="center"/>
    </xf>
    <xf numFmtId="179" fontId="11" fillId="60" borderId="116" xfId="49" applyNumberFormat="1" applyFont="1" applyFill="1" applyBorder="1" applyAlignment="1">
      <alignment vertical="center"/>
    </xf>
    <xf numFmtId="9" fontId="0" fillId="0" borderId="70" xfId="0" applyNumberFormat="1" applyFont="1" applyFill="1" applyBorder="1" applyAlignment="1">
      <alignment horizontal="left" vertical="center" wrapText="1"/>
    </xf>
    <xf numFmtId="164" fontId="11" fillId="61" borderId="119" xfId="0" applyNumberFormat="1" applyFont="1" applyFill="1" applyBorder="1" applyAlignment="1">
      <alignment vertical="center"/>
    </xf>
    <xf numFmtId="0" fontId="0" fillId="61" borderId="115" xfId="0" applyFont="1" applyFill="1" applyBorder="1" applyAlignment="1">
      <alignment vertical="center"/>
    </xf>
    <xf numFmtId="0" fontId="0" fillId="61" borderId="116" xfId="0" applyFont="1" applyFill="1" applyBorder="1" applyAlignment="1">
      <alignment horizontal="right" vertical="center"/>
    </xf>
    <xf numFmtId="179" fontId="11" fillId="62" borderId="116" xfId="49" applyNumberFormat="1" applyFont="1" applyFill="1" applyBorder="1" applyAlignment="1">
      <alignment vertical="center"/>
    </xf>
    <xf numFmtId="164" fontId="11" fillId="59" borderId="119" xfId="67" applyNumberFormat="1" applyFont="1" applyFill="1" applyBorder="1" applyAlignment="1" applyProtection="1">
      <alignment vertical="center"/>
      <protection/>
    </xf>
    <xf numFmtId="179" fontId="40" fillId="60" borderId="116" xfId="67" applyNumberFormat="1" applyFont="1" applyFill="1" applyBorder="1" applyAlignment="1" applyProtection="1">
      <alignment vertical="center"/>
      <protection/>
    </xf>
    <xf numFmtId="9" fontId="0" fillId="0" borderId="70" xfId="0" applyNumberFormat="1" applyFont="1" applyBorder="1" applyAlignment="1">
      <alignment horizontal="left" vertical="center" wrapText="1"/>
    </xf>
    <xf numFmtId="164" fontId="11" fillId="61" borderId="119" xfId="67" applyNumberFormat="1" applyFont="1" applyFill="1" applyBorder="1" applyAlignment="1" applyProtection="1">
      <alignment vertical="center"/>
      <protection/>
    </xf>
    <xf numFmtId="179" fontId="40" fillId="62" borderId="116" xfId="67" applyNumberFormat="1" applyFont="1" applyFill="1" applyBorder="1" applyAlignment="1" applyProtection="1">
      <alignment vertical="center"/>
      <protection/>
    </xf>
    <xf numFmtId="0" fontId="0" fillId="0" borderId="70" xfId="0" applyFont="1" applyBorder="1" applyAlignment="1">
      <alignment vertical="center" wrapText="1"/>
    </xf>
    <xf numFmtId="0" fontId="0" fillId="60" borderId="115" xfId="0" applyFont="1" applyFill="1" applyBorder="1" applyAlignment="1">
      <alignment vertical="center"/>
    </xf>
    <xf numFmtId="164" fontId="11" fillId="61" borderId="106" xfId="0" applyNumberFormat="1" applyFont="1" applyFill="1" applyBorder="1" applyAlignment="1">
      <alignment vertical="center"/>
    </xf>
    <xf numFmtId="0" fontId="0" fillId="61" borderId="107" xfId="0" applyFont="1" applyFill="1" applyBorder="1" applyAlignment="1">
      <alignment vertical="center"/>
    </xf>
    <xf numFmtId="0" fontId="0" fillId="63" borderId="107" xfId="0" applyFont="1" applyFill="1" applyBorder="1" applyAlignment="1">
      <alignment horizontal="right" vertical="center"/>
    </xf>
    <xf numFmtId="0" fontId="0" fillId="61" borderId="107" xfId="0" applyFont="1" applyFill="1" applyBorder="1" applyAlignment="1">
      <alignment horizontal="right" vertical="center"/>
    </xf>
    <xf numFmtId="179" fontId="6" fillId="0" borderId="57" xfId="47" applyNumberFormat="1" applyFont="1" applyFill="1" applyBorder="1" applyAlignment="1">
      <alignment vertical="center"/>
    </xf>
    <xf numFmtId="179" fontId="6" fillId="0" borderId="57" xfId="0" applyNumberFormat="1" applyFont="1" applyFill="1" applyBorder="1" applyAlignment="1">
      <alignment vertical="center"/>
    </xf>
    <xf numFmtId="2" fontId="24" fillId="64" borderId="98" xfId="67" applyNumberFormat="1" applyFont="1" applyFill="1" applyBorder="1" applyAlignment="1" applyProtection="1">
      <alignment horizontal="center" vertical="center"/>
      <protection/>
    </xf>
    <xf numFmtId="0" fontId="87" fillId="65" borderId="0" xfId="0" applyFont="1" applyFill="1" applyBorder="1" applyAlignment="1">
      <alignment horizontal="center" vertical="center"/>
    </xf>
    <xf numFmtId="0" fontId="87" fillId="66" borderId="0" xfId="0" applyFont="1" applyFill="1" applyAlignment="1">
      <alignment horizontal="left" vertical="center"/>
    </xf>
    <xf numFmtId="167" fontId="87" fillId="65" borderId="126" xfId="0" applyNumberFormat="1" applyFont="1" applyFill="1" applyBorder="1" applyAlignment="1">
      <alignment horizontal="center" vertical="center"/>
    </xf>
    <xf numFmtId="167" fontId="87" fillId="65" borderId="57" xfId="0" applyNumberFormat="1" applyFont="1" applyFill="1" applyBorder="1" applyAlignment="1">
      <alignment horizontal="center" vertical="center"/>
    </xf>
    <xf numFmtId="167" fontId="87" fillId="65" borderId="124" xfId="0" applyNumberFormat="1" applyFont="1" applyFill="1" applyBorder="1" applyAlignment="1">
      <alignment horizontal="center" vertical="center"/>
    </xf>
    <xf numFmtId="0" fontId="87" fillId="65" borderId="98" xfId="0" applyNumberFormat="1" applyFont="1" applyFill="1" applyBorder="1" applyAlignment="1">
      <alignment horizontal="center" vertical="center"/>
    </xf>
    <xf numFmtId="166" fontId="87" fillId="65" borderId="98" xfId="77" applyNumberFormat="1" applyFont="1" applyFill="1" applyBorder="1" applyAlignment="1">
      <alignment horizontal="center" vertical="center"/>
    </xf>
    <xf numFmtId="179" fontId="87" fillId="66" borderId="64" xfId="47" applyNumberFormat="1" applyFont="1" applyFill="1" applyBorder="1" applyAlignment="1">
      <alignment vertical="center"/>
    </xf>
    <xf numFmtId="179" fontId="87" fillId="66" borderId="126" xfId="47" applyNumberFormat="1" applyFont="1" applyFill="1" applyBorder="1" applyAlignment="1">
      <alignment vertical="center"/>
    </xf>
    <xf numFmtId="179" fontId="87" fillId="66" borderId="34" xfId="47" applyNumberFormat="1" applyFont="1" applyFill="1" applyBorder="1" applyAlignment="1">
      <alignment vertical="center"/>
    </xf>
    <xf numFmtId="179" fontId="87" fillId="66" borderId="59" xfId="47" applyNumberFormat="1" applyFont="1" applyFill="1" applyBorder="1" applyAlignment="1">
      <alignment vertical="center"/>
    </xf>
    <xf numFmtId="0" fontId="85" fillId="67" borderId="68" xfId="0" applyFont="1" applyFill="1" applyBorder="1" applyAlignment="1" applyProtection="1">
      <alignment vertical="center"/>
      <protection locked="0"/>
    </xf>
    <xf numFmtId="0" fontId="85" fillId="67" borderId="23" xfId="0" applyFont="1" applyFill="1" applyBorder="1" applyAlignment="1" applyProtection="1">
      <alignment vertical="center"/>
      <protection locked="0"/>
    </xf>
    <xf numFmtId="0" fontId="85" fillId="67" borderId="58" xfId="0" applyFont="1" applyFill="1" applyBorder="1" applyAlignment="1" applyProtection="1">
      <alignment vertical="center"/>
      <protection locked="0"/>
    </xf>
    <xf numFmtId="0" fontId="43" fillId="65" borderId="8" xfId="0" applyFont="1" applyFill="1" applyBorder="1" applyAlignment="1">
      <alignment vertical="center" wrapText="1"/>
    </xf>
    <xf numFmtId="7" fontId="43" fillId="65" borderId="8" xfId="47" applyFont="1" applyFill="1" applyBorder="1" applyAlignment="1">
      <alignment vertical="center" wrapText="1"/>
    </xf>
    <xf numFmtId="37" fontId="43" fillId="65" borderId="8" xfId="47" applyNumberFormat="1" applyFont="1" applyFill="1" applyBorder="1" applyAlignment="1">
      <alignment horizontal="center" vertical="center" wrapText="1"/>
    </xf>
    <xf numFmtId="7" fontId="15" fillId="0" borderId="8" xfId="47" applyFont="1" applyFill="1" applyBorder="1" applyAlignment="1">
      <alignment vertical="center"/>
    </xf>
    <xf numFmtId="0" fontId="43" fillId="65" borderId="8" xfId="0" applyFont="1" applyFill="1" applyBorder="1" applyAlignment="1">
      <alignment horizontal="center" vertical="center" wrapText="1"/>
    </xf>
    <xf numFmtId="0" fontId="11" fillId="65" borderId="8" xfId="0" applyFont="1" applyFill="1" applyBorder="1" applyAlignment="1">
      <alignment horizontal="center" vertical="center" wrapText="1"/>
    </xf>
    <xf numFmtId="0" fontId="10" fillId="0" borderId="0" xfId="0" applyFont="1" applyAlignment="1">
      <alignment/>
    </xf>
    <xf numFmtId="0" fontId="27" fillId="33" borderId="0" xfId="0" applyFont="1" applyFill="1" applyBorder="1" applyAlignment="1">
      <alignment horizontal="center" vertical="center"/>
    </xf>
    <xf numFmtId="0" fontId="11" fillId="0" borderId="107" xfId="0" applyFont="1" applyBorder="1" applyAlignment="1">
      <alignment horizontal="left" vertical="center" wrapText="1"/>
    </xf>
    <xf numFmtId="0" fontId="86" fillId="58" borderId="120" xfId="0" applyFont="1" applyFill="1" applyBorder="1" applyAlignment="1">
      <alignment horizontal="center" vertical="center"/>
    </xf>
    <xf numFmtId="0" fontId="0" fillId="68" borderId="123" xfId="0" applyFill="1" applyBorder="1" applyAlignment="1" applyProtection="1">
      <alignment horizontal="left" vertical="center"/>
      <protection locked="0"/>
    </xf>
    <xf numFmtId="0" fontId="0" fillId="68" borderId="100" xfId="0" applyFill="1" applyBorder="1" applyAlignment="1" applyProtection="1">
      <alignment horizontal="left" vertical="center"/>
      <protection locked="0"/>
    </xf>
    <xf numFmtId="0" fontId="0" fillId="68" borderId="101" xfId="0" applyFill="1" applyBorder="1" applyAlignment="1" applyProtection="1">
      <alignment horizontal="left" vertical="center"/>
      <protection locked="0"/>
    </xf>
    <xf numFmtId="0" fontId="11" fillId="0" borderId="98" xfId="0" applyFont="1" applyBorder="1" applyAlignment="1">
      <alignment horizontal="left" vertical="center" wrapText="1"/>
    </xf>
    <xf numFmtId="0" fontId="3" fillId="51" borderId="26" xfId="0" applyFont="1" applyFill="1" applyBorder="1" applyAlignment="1" applyProtection="1">
      <alignment horizontal="center" vertical="center"/>
      <protection locked="0"/>
    </xf>
    <xf numFmtId="0" fontId="3" fillId="51" borderId="27" xfId="0" applyFont="1" applyFill="1" applyBorder="1" applyAlignment="1" applyProtection="1">
      <alignment horizontal="center" vertical="center"/>
      <protection locked="0"/>
    </xf>
    <xf numFmtId="0" fontId="28" fillId="46" borderId="0" xfId="0" applyFont="1" applyFill="1" applyAlignment="1">
      <alignment horizontal="center" vertical="center"/>
    </xf>
    <xf numFmtId="0" fontId="3" fillId="69" borderId="26" xfId="0" applyFont="1" applyFill="1" applyBorder="1" applyAlignment="1" applyProtection="1">
      <alignment horizontal="center" vertical="center" wrapText="1"/>
      <protection locked="0"/>
    </xf>
    <xf numFmtId="0" fontId="3" fillId="69" borderId="27" xfId="0" applyFont="1" applyFill="1" applyBorder="1" applyAlignment="1" applyProtection="1">
      <alignment horizontal="center" vertical="center" wrapText="1"/>
      <protection locked="0"/>
    </xf>
    <xf numFmtId="0" fontId="37" fillId="70" borderId="26" xfId="0" applyFont="1" applyFill="1" applyBorder="1" applyAlignment="1" applyProtection="1">
      <alignment horizontal="center" vertical="center" wrapText="1"/>
      <protection locked="0"/>
    </xf>
    <xf numFmtId="0" fontId="37" fillId="70" borderId="27" xfId="0" applyFont="1" applyFill="1" applyBorder="1" applyAlignment="1" applyProtection="1">
      <alignment horizontal="center" vertical="center" wrapText="1"/>
      <protection locked="0"/>
    </xf>
    <xf numFmtId="0" fontId="39" fillId="50" borderId="127" xfId="0" applyFont="1" applyFill="1" applyBorder="1" applyAlignment="1">
      <alignment horizontal="center" vertical="center" wrapText="1"/>
    </xf>
    <xf numFmtId="0" fontId="39" fillId="50" borderId="39" xfId="0" applyFont="1" applyFill="1" applyBorder="1" applyAlignment="1">
      <alignment horizontal="center" vertical="center" wrapText="1"/>
    </xf>
    <xf numFmtId="0" fontId="21" fillId="0" borderId="103" xfId="0" applyFont="1" applyBorder="1" applyAlignment="1">
      <alignment horizontal="center" vertical="center"/>
    </xf>
    <xf numFmtId="0" fontId="21" fillId="0" borderId="105" xfId="0" applyFont="1" applyBorder="1" applyAlignment="1">
      <alignment horizontal="center" vertical="center"/>
    </xf>
    <xf numFmtId="0" fontId="21" fillId="0" borderId="104" xfId="0" applyFont="1" applyBorder="1" applyAlignment="1">
      <alignment horizontal="center" vertical="center"/>
    </xf>
    <xf numFmtId="0" fontId="3" fillId="17" borderId="119" xfId="0" applyFont="1" applyFill="1" applyBorder="1" applyAlignment="1">
      <alignment horizontal="center" vertical="center"/>
    </xf>
    <xf numFmtId="0" fontId="3" fillId="17" borderId="128" xfId="0" applyFont="1" applyFill="1" applyBorder="1" applyAlignment="1">
      <alignment horizontal="center" vertical="center"/>
    </xf>
    <xf numFmtId="0" fontId="0" fillId="0" borderId="129" xfId="0" applyFont="1" applyBorder="1" applyAlignment="1">
      <alignment horizontal="right" vertical="center"/>
    </xf>
    <xf numFmtId="0" fontId="0" fillId="0" borderId="130" xfId="0" applyFont="1" applyBorder="1" applyAlignment="1">
      <alignment horizontal="right" vertical="center"/>
    </xf>
    <xf numFmtId="0" fontId="39" fillId="50" borderId="119" xfId="67" applyFont="1" applyFill="1" applyBorder="1" applyAlignment="1" applyProtection="1">
      <alignment horizontal="center" vertical="center"/>
      <protection/>
    </xf>
    <xf numFmtId="0" fontId="39" fillId="50" borderId="115" xfId="67" applyFont="1" applyFill="1" applyBorder="1" applyAlignment="1" applyProtection="1">
      <alignment horizontal="center" vertical="center"/>
      <protection/>
    </xf>
    <xf numFmtId="0" fontId="39" fillId="50" borderId="116" xfId="67" applyFont="1" applyFill="1" applyBorder="1" applyAlignment="1" applyProtection="1">
      <alignment horizontal="center" vertical="center"/>
      <protection/>
    </xf>
    <xf numFmtId="0" fontId="88" fillId="0" borderId="123" xfId="0" applyFont="1" applyBorder="1" applyAlignment="1">
      <alignment horizontal="center" vertical="center"/>
    </xf>
    <xf numFmtId="0" fontId="88" fillId="0" borderId="100" xfId="0" applyFont="1" applyBorder="1" applyAlignment="1">
      <alignment horizontal="center" vertical="center"/>
    </xf>
    <xf numFmtId="179" fontId="87" fillId="66" borderId="131" xfId="47" applyNumberFormat="1" applyFont="1" applyFill="1" applyBorder="1" applyAlignment="1">
      <alignment horizontal="right" vertical="center"/>
    </xf>
    <xf numFmtId="179" fontId="87" fillId="66" borderId="39" xfId="47" applyNumberFormat="1" applyFont="1" applyFill="1" applyBorder="1" applyAlignment="1">
      <alignment horizontal="right" vertical="center"/>
    </xf>
    <xf numFmtId="0" fontId="3" fillId="59" borderId="129" xfId="0" applyFont="1" applyFill="1" applyBorder="1" applyAlignment="1" applyProtection="1">
      <alignment horizontal="center" vertical="center" wrapText="1"/>
      <protection locked="0"/>
    </xf>
    <xf numFmtId="0" fontId="3" fillId="59" borderId="132" xfId="0" applyFont="1" applyFill="1" applyBorder="1" applyAlignment="1" applyProtection="1">
      <alignment horizontal="center" vertical="center" wrapText="1"/>
      <protection locked="0"/>
    </xf>
    <xf numFmtId="179" fontId="87" fillId="66" borderId="133" xfId="47" applyNumberFormat="1" applyFont="1" applyFill="1" applyBorder="1" applyAlignment="1">
      <alignment horizontal="center" vertical="center"/>
    </xf>
    <xf numFmtId="179" fontId="87" fillId="66" borderId="132" xfId="47" applyNumberFormat="1" applyFont="1" applyFill="1" applyBorder="1" applyAlignment="1">
      <alignment horizontal="center" vertical="center"/>
    </xf>
    <xf numFmtId="5" fontId="6" fillId="36" borderId="133" xfId="0" applyNumberFormat="1" applyFont="1" applyFill="1" applyBorder="1" applyAlignment="1" applyProtection="1">
      <alignment horizontal="center" vertical="center"/>
      <protection locked="0"/>
    </xf>
    <xf numFmtId="5" fontId="6" fillId="36" borderId="117" xfId="0" applyNumberFormat="1" applyFont="1" applyFill="1" applyBorder="1" applyAlignment="1" applyProtection="1">
      <alignment horizontal="center" vertical="center"/>
      <protection locked="0"/>
    </xf>
    <xf numFmtId="0" fontId="43" fillId="65" borderId="0" xfId="0" applyFont="1" applyFill="1" applyAlignment="1">
      <alignment horizontal="center" vertical="center" wrapText="1"/>
    </xf>
    <xf numFmtId="0" fontId="87" fillId="65" borderId="0" xfId="0" applyFont="1" applyFill="1" applyBorder="1" applyAlignment="1">
      <alignment horizontal="left" vertical="center"/>
    </xf>
    <xf numFmtId="0" fontId="9" fillId="0" borderId="0" xfId="0" applyFont="1" applyFill="1" applyBorder="1" applyAlignment="1">
      <alignment horizontal="right" vertical="center"/>
    </xf>
    <xf numFmtId="0" fontId="89" fillId="67" borderId="23" xfId="0" applyFont="1" applyFill="1" applyBorder="1" applyAlignment="1" applyProtection="1">
      <alignment horizontal="center" vertical="center"/>
      <protection locked="0"/>
    </xf>
    <xf numFmtId="0" fontId="89" fillId="67" borderId="97" xfId="0" applyFont="1" applyFill="1" applyBorder="1" applyAlignment="1" applyProtection="1">
      <alignment horizontal="center" vertical="center"/>
      <protection locked="0"/>
    </xf>
    <xf numFmtId="0" fontId="89" fillId="67" borderId="68" xfId="0" applyFont="1" applyFill="1" applyBorder="1" applyAlignment="1" applyProtection="1">
      <alignment horizontal="center" vertical="center"/>
      <protection locked="0"/>
    </xf>
    <xf numFmtId="0" fontId="89" fillId="67" borderId="133" xfId="0" applyFont="1" applyFill="1" applyBorder="1" applyAlignment="1" applyProtection="1">
      <alignment horizontal="center" vertical="center"/>
      <protection locked="0"/>
    </xf>
    <xf numFmtId="0" fontId="89" fillId="67" borderId="58" xfId="0" applyFont="1" applyFill="1" applyBorder="1" applyAlignment="1" applyProtection="1">
      <alignment horizontal="center" vertical="center"/>
      <protection locked="0"/>
    </xf>
    <xf numFmtId="0" fontId="89" fillId="67" borderId="99" xfId="0" applyFont="1" applyFill="1" applyBorder="1" applyAlignment="1" applyProtection="1">
      <alignment horizontal="center" vertical="center"/>
      <protection locked="0"/>
    </xf>
    <xf numFmtId="0" fontId="39" fillId="59" borderId="132" xfId="0" applyFont="1" applyFill="1" applyBorder="1" applyAlignment="1" applyProtection="1">
      <alignment horizontal="center" vertical="center" wrapText="1"/>
      <protection locked="0"/>
    </xf>
    <xf numFmtId="0" fontId="39" fillId="59" borderId="126" xfId="0" applyFont="1" applyFill="1" applyBorder="1" applyAlignment="1" applyProtection="1">
      <alignment horizontal="center" vertical="center" wrapText="1"/>
      <protection locked="0"/>
    </xf>
    <xf numFmtId="0" fontId="39" fillId="59" borderId="54" xfId="0" applyFont="1" applyFill="1" applyBorder="1" applyAlignment="1" applyProtection="1">
      <alignment horizontal="center" vertical="center" wrapText="1"/>
      <protection locked="0"/>
    </xf>
    <xf numFmtId="0" fontId="39" fillId="59" borderId="34" xfId="0" applyFont="1" applyFill="1" applyBorder="1" applyAlignment="1" applyProtection="1">
      <alignment horizontal="center" vertical="center" wrapText="1"/>
      <protection locked="0"/>
    </xf>
    <xf numFmtId="0" fontId="39" fillId="59" borderId="73" xfId="0" applyFont="1" applyFill="1" applyBorder="1" applyAlignment="1" applyProtection="1">
      <alignment horizontal="center" vertical="center" wrapText="1"/>
      <protection locked="0"/>
    </xf>
    <xf numFmtId="0" fontId="39" fillId="59" borderId="59" xfId="0" applyFont="1" applyFill="1" applyBorder="1" applyAlignment="1" applyProtection="1">
      <alignment horizontal="center" vertical="center" wrapText="1"/>
      <protection locked="0"/>
    </xf>
    <xf numFmtId="0" fontId="32" fillId="46" borderId="21" xfId="0" applyFont="1" applyFill="1" applyBorder="1" applyAlignment="1">
      <alignment horizontal="center" vertical="center"/>
    </xf>
    <xf numFmtId="0" fontId="87" fillId="65" borderId="0" xfId="0" applyFont="1" applyFill="1" applyBorder="1" applyAlignment="1">
      <alignment horizontal="left" vertical="center" wrapText="1"/>
    </xf>
    <xf numFmtId="0" fontId="39" fillId="50" borderId="105" xfId="0" applyFont="1" applyFill="1" applyBorder="1" applyAlignment="1">
      <alignment horizontal="center" vertical="center" wrapText="1"/>
    </xf>
    <xf numFmtId="0" fontId="39" fillId="50" borderId="57" xfId="0" applyFont="1" applyFill="1" applyBorder="1" applyAlignment="1">
      <alignment horizontal="center" vertical="center" wrapText="1"/>
    </xf>
    <xf numFmtId="0" fontId="39" fillId="50" borderId="66" xfId="0" applyFont="1" applyFill="1" applyBorder="1" applyAlignment="1">
      <alignment horizontal="center" vertical="center" wrapText="1"/>
    </xf>
    <xf numFmtId="0" fontId="28" fillId="46" borderId="0" xfId="0" applyFont="1" applyFill="1" applyBorder="1" applyAlignment="1">
      <alignment horizontal="center" vertical="center"/>
    </xf>
    <xf numFmtId="0" fontId="34" fillId="46" borderId="0" xfId="0" applyFont="1" applyFill="1" applyAlignment="1">
      <alignment horizontal="center" vertical="center"/>
    </xf>
    <xf numFmtId="0" fontId="0" fillId="71" borderId="119" xfId="0" applyFill="1" applyBorder="1" applyAlignment="1">
      <alignment vertical="center" wrapText="1"/>
    </xf>
    <xf numFmtId="0" fontId="0" fillId="71" borderId="115" xfId="0" applyFill="1" applyBorder="1" applyAlignment="1">
      <alignment vertical="center" wrapText="1"/>
    </xf>
    <xf numFmtId="0" fontId="0" fillId="71" borderId="116" xfId="0" applyFill="1" applyBorder="1" applyAlignment="1">
      <alignment vertical="center" wrapText="1"/>
    </xf>
    <xf numFmtId="164" fontId="5" fillId="0" borderId="134" xfId="67" applyNumberFormat="1" applyFill="1" applyBorder="1" applyAlignment="1" applyProtection="1">
      <alignment horizontal="left" vertical="center" wrapText="1"/>
      <protection/>
    </xf>
    <xf numFmtId="0" fontId="5" fillId="0" borderId="134" xfId="67" applyBorder="1" applyAlignment="1" applyProtection="1">
      <alignment horizontal="left" vertical="center" wrapText="1"/>
      <protection/>
    </xf>
    <xf numFmtId="0" fontId="15" fillId="0" borderId="97"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21" fillId="0" borderId="86" xfId="0" applyNumberFormat="1" applyFont="1" applyBorder="1" applyAlignment="1">
      <alignment horizontal="center" vertical="center"/>
    </xf>
    <xf numFmtId="0" fontId="21" fillId="0" borderId="49" xfId="0" applyNumberFormat="1" applyFont="1" applyBorder="1" applyAlignment="1">
      <alignment horizontal="center" vertical="center"/>
    </xf>
    <xf numFmtId="164" fontId="35" fillId="0" borderId="134" xfId="67" applyNumberFormat="1" applyFont="1" applyFill="1" applyBorder="1" applyAlignment="1" applyProtection="1">
      <alignment horizontal="left" vertical="center" wrapText="1"/>
      <protection/>
    </xf>
    <xf numFmtId="0" fontId="35" fillId="0" borderId="134" xfId="67" applyFont="1" applyBorder="1" applyAlignment="1" applyProtection="1">
      <alignment horizontal="left" vertical="center" wrapText="1"/>
      <protection/>
    </xf>
    <xf numFmtId="0" fontId="89" fillId="48" borderId="119" xfId="0" applyNumberFormat="1" applyFont="1" applyFill="1" applyBorder="1" applyAlignment="1">
      <alignment horizontal="center" vertical="center"/>
    </xf>
    <xf numFmtId="0" fontId="89" fillId="48" borderId="115" xfId="0" applyNumberFormat="1" applyFont="1" applyFill="1" applyBorder="1" applyAlignment="1">
      <alignment horizontal="center" vertical="center"/>
    </xf>
    <xf numFmtId="0" fontId="85" fillId="48" borderId="135" xfId="0" applyFont="1" applyFill="1" applyBorder="1" applyAlignment="1">
      <alignment horizontal="center" vertical="center" wrapText="1"/>
    </xf>
    <xf numFmtId="0" fontId="85" fillId="48" borderId="116" xfId="0" applyFont="1" applyFill="1" applyBorder="1" applyAlignment="1">
      <alignment horizontal="center" vertical="center" wrapText="1"/>
    </xf>
    <xf numFmtId="0" fontId="15" fillId="0" borderId="133" xfId="0" applyFont="1" applyFill="1" applyBorder="1" applyAlignment="1">
      <alignment horizontal="center" vertical="center" wrapText="1"/>
    </xf>
    <xf numFmtId="0" fontId="15" fillId="0" borderId="117" xfId="0" applyFont="1" applyFill="1" applyBorder="1" applyAlignment="1">
      <alignment horizontal="center" vertical="center" wrapText="1"/>
    </xf>
    <xf numFmtId="0" fontId="15" fillId="0" borderId="136" xfId="0" applyFont="1" applyFill="1" applyBorder="1" applyAlignment="1">
      <alignment horizontal="center" vertical="center" wrapText="1"/>
    </xf>
    <xf numFmtId="0" fontId="15" fillId="0" borderId="112" xfId="0" applyFont="1" applyFill="1" applyBorder="1" applyAlignment="1">
      <alignment horizontal="center" vertical="center" wrapText="1"/>
    </xf>
    <xf numFmtId="0" fontId="36" fillId="0" borderId="28"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26" xfId="0" applyFont="1" applyBorder="1" applyAlignment="1">
      <alignment horizontal="left" vertical="center" wrapText="1"/>
    </xf>
    <xf numFmtId="0" fontId="36" fillId="0" borderId="8" xfId="0" applyFont="1" applyBorder="1" applyAlignment="1">
      <alignment horizontal="left" vertical="center" wrapText="1"/>
    </xf>
    <xf numFmtId="0" fontId="36" fillId="0" borderId="97" xfId="0" applyFont="1" applyBorder="1" applyAlignment="1">
      <alignment horizontal="left" vertical="center" wrapText="1"/>
    </xf>
    <xf numFmtId="0" fontId="36" fillId="0" borderId="34" xfId="0" applyFont="1" applyBorder="1" applyAlignment="1">
      <alignment horizontal="left" vertical="center" wrapText="1"/>
    </xf>
    <xf numFmtId="0" fontId="19" fillId="57" borderId="113" xfId="0" applyNumberFormat="1" applyFont="1" applyFill="1" applyBorder="1" applyAlignment="1">
      <alignment horizontal="center" vertical="center" wrapText="1"/>
    </xf>
    <xf numFmtId="0" fontId="19" fillId="57" borderId="137" xfId="0" applyNumberFormat="1" applyFont="1" applyFill="1" applyBorder="1" applyAlignment="1">
      <alignment horizontal="center" vertical="center" wrapText="1"/>
    </xf>
    <xf numFmtId="0" fontId="19" fillId="57" borderId="72" xfId="0" applyNumberFormat="1" applyFont="1" applyFill="1" applyBorder="1" applyAlignment="1">
      <alignment horizontal="center" vertical="center" wrapText="1"/>
    </xf>
    <xf numFmtId="3" fontId="15" fillId="14" borderId="49" xfId="0" applyNumberFormat="1" applyFont="1" applyFill="1" applyBorder="1" applyAlignment="1">
      <alignment horizontal="center" vertical="center"/>
    </xf>
    <xf numFmtId="0" fontId="86" fillId="72" borderId="113" xfId="0" applyNumberFormat="1" applyFont="1" applyFill="1" applyBorder="1" applyAlignment="1">
      <alignment horizontal="center" vertical="center" wrapText="1"/>
    </xf>
    <xf numFmtId="0" fontId="86" fillId="72" borderId="137" xfId="0" applyNumberFormat="1" applyFont="1" applyFill="1" applyBorder="1" applyAlignment="1">
      <alignment horizontal="center" vertical="center" wrapText="1"/>
    </xf>
    <xf numFmtId="0" fontId="86" fillId="72" borderId="72" xfId="0" applyNumberFormat="1" applyFont="1" applyFill="1" applyBorder="1" applyAlignment="1">
      <alignment horizontal="center" vertical="center" wrapText="1"/>
    </xf>
    <xf numFmtId="0" fontId="36" fillId="0" borderId="138" xfId="0" applyFont="1" applyBorder="1" applyAlignment="1">
      <alignment horizontal="left" vertical="center"/>
    </xf>
    <xf numFmtId="0" fontId="36" fillId="0" borderId="104" xfId="0" applyFont="1" applyBorder="1" applyAlignment="1">
      <alignment horizontal="left" vertical="center"/>
    </xf>
    <xf numFmtId="0" fontId="36" fillId="0" borderId="139" xfId="0" applyFont="1" applyBorder="1" applyAlignment="1">
      <alignment horizontal="left" vertical="center"/>
    </xf>
    <xf numFmtId="0" fontId="36" fillId="0" borderId="110" xfId="0" applyFont="1" applyBorder="1" applyAlignment="1">
      <alignment horizontal="left" vertical="center"/>
    </xf>
    <xf numFmtId="0" fontId="36" fillId="0" borderId="0" xfId="0" applyFont="1" applyBorder="1" applyAlignment="1">
      <alignment horizontal="left" vertical="center"/>
    </xf>
    <xf numFmtId="0" fontId="36" fillId="0" borderId="47" xfId="0" applyFont="1" applyBorder="1" applyAlignment="1">
      <alignment horizontal="left" vertical="center"/>
    </xf>
    <xf numFmtId="0" fontId="36" fillId="0" borderId="140" xfId="0" applyFont="1" applyBorder="1" applyAlignment="1">
      <alignment horizontal="left" vertical="center"/>
    </xf>
    <xf numFmtId="0" fontId="36" fillId="0" borderId="107" xfId="0" applyFont="1" applyBorder="1" applyAlignment="1">
      <alignment horizontal="left" vertical="center"/>
    </xf>
    <xf numFmtId="0" fontId="36" fillId="0" borderId="71" xfId="0" applyFont="1" applyBorder="1" applyAlignment="1">
      <alignment horizontal="left" vertical="center"/>
    </xf>
    <xf numFmtId="0" fontId="3" fillId="0" borderId="138" xfId="0" applyFont="1" applyBorder="1" applyAlignment="1">
      <alignment horizontal="center" vertical="center"/>
    </xf>
    <xf numFmtId="0" fontId="3" fillId="0" borderId="105" xfId="0" applyFont="1" applyBorder="1" applyAlignment="1">
      <alignment horizontal="center" vertical="center"/>
    </xf>
    <xf numFmtId="0" fontId="3" fillId="0" borderId="110" xfId="0" applyFont="1" applyBorder="1" applyAlignment="1">
      <alignment horizontal="center" vertical="center"/>
    </xf>
    <xf numFmtId="0" fontId="3" fillId="0" borderId="57" xfId="0" applyFont="1" applyBorder="1" applyAlignment="1">
      <alignment horizontal="center" vertical="center"/>
    </xf>
    <xf numFmtId="0" fontId="3" fillId="0" borderId="140" xfId="0" applyFont="1" applyBorder="1" applyAlignment="1">
      <alignment horizontal="center" vertical="center"/>
    </xf>
    <xf numFmtId="0" fontId="3" fillId="0" borderId="75" xfId="0" applyFont="1" applyBorder="1" applyAlignment="1">
      <alignment horizontal="center" vertical="center"/>
    </xf>
    <xf numFmtId="0" fontId="90" fillId="0" borderId="0" xfId="0" applyFont="1" applyBorder="1" applyAlignment="1">
      <alignment horizontal="center" vertical="center"/>
    </xf>
    <xf numFmtId="0" fontId="15" fillId="0" borderId="48" xfId="0" applyFont="1" applyFill="1" applyBorder="1" applyAlignment="1">
      <alignment horizontal="center" vertical="center" wrapText="1"/>
    </xf>
    <xf numFmtId="0" fontId="15" fillId="0" borderId="84" xfId="0" applyFont="1" applyFill="1" applyBorder="1" applyAlignment="1">
      <alignment horizontal="center" vertical="center" wrapText="1"/>
    </xf>
    <xf numFmtId="0" fontId="6" fillId="0" borderId="129" xfId="0" applyFont="1" applyBorder="1" applyAlignment="1">
      <alignment horizontal="center" vertical="center"/>
    </xf>
    <xf numFmtId="0" fontId="6" fillId="0" borderId="117" xfId="0" applyFont="1" applyBorder="1" applyAlignment="1">
      <alignment horizontal="center" vertical="center"/>
    </xf>
    <xf numFmtId="0" fontId="6" fillId="0" borderId="129"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54" xfId="0" applyFont="1" applyFill="1" applyBorder="1" applyAlignment="1">
      <alignment horizontal="center" vertical="center"/>
    </xf>
    <xf numFmtId="0" fontId="0" fillId="0" borderId="11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3" xfId="0" applyBorder="1" applyAlignment="1">
      <alignment vertical="center"/>
    </xf>
    <xf numFmtId="0" fontId="0" fillId="0" borderId="8" xfId="0" applyBorder="1" applyAlignment="1">
      <alignment vertical="center"/>
    </xf>
    <xf numFmtId="0" fontId="0" fillId="0" borderId="34" xfId="0" applyBorder="1" applyAlignment="1">
      <alignment vertical="center"/>
    </xf>
    <xf numFmtId="0" fontId="0" fillId="0" borderId="12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6" fillId="0" borderId="83" xfId="0" applyFont="1" applyBorder="1" applyAlignment="1">
      <alignment horizontal="right" vertical="center"/>
    </xf>
    <xf numFmtId="0" fontId="6" fillId="0" borderId="50" xfId="0" applyFont="1" applyBorder="1" applyAlignment="1">
      <alignment horizontal="right" vertical="center"/>
    </xf>
    <xf numFmtId="0" fontId="6" fillId="0" borderId="82" xfId="0" applyFont="1" applyBorder="1" applyAlignment="1">
      <alignment horizontal="right"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103"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119" xfId="0" applyFont="1" applyBorder="1" applyAlignment="1">
      <alignment horizontal="center" vertical="center"/>
    </xf>
    <xf numFmtId="0" fontId="6" fillId="0" borderId="116" xfId="0" applyFont="1" applyBorder="1" applyAlignment="1">
      <alignment horizontal="center" vertical="center"/>
    </xf>
    <xf numFmtId="0" fontId="6" fillId="0" borderId="113"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133" xfId="0" applyFont="1" applyFill="1" applyBorder="1" applyAlignment="1">
      <alignment horizontal="center" vertical="center"/>
    </xf>
    <xf numFmtId="0" fontId="6" fillId="0" borderId="130" xfId="0" applyFont="1" applyFill="1" applyBorder="1" applyAlignment="1">
      <alignment horizontal="center" vertical="center"/>
    </xf>
    <xf numFmtId="0" fontId="31" fillId="0" borderId="0" xfId="0" applyFont="1" applyAlignment="1">
      <alignment horizontal="left" vertical="center"/>
    </xf>
    <xf numFmtId="0" fontId="6" fillId="0" borderId="55" xfId="0" applyFont="1" applyFill="1" applyBorder="1" applyAlignment="1">
      <alignment horizontal="center" vertical="center"/>
    </xf>
    <xf numFmtId="1" fontId="0" fillId="41" borderId="122" xfId="0" applyNumberFormat="1" applyFill="1" applyBorder="1" applyAlignment="1">
      <alignment horizontal="center" vertical="center"/>
    </xf>
    <xf numFmtId="1" fontId="0" fillId="41" borderId="79" xfId="0" applyNumberFormat="1" applyFill="1" applyBorder="1" applyAlignment="1">
      <alignment horizontal="center" vertical="center"/>
    </xf>
    <xf numFmtId="1" fontId="0" fillId="41" borderId="56" xfId="0" applyNumberFormat="1" applyFill="1" applyBorder="1" applyAlignment="1">
      <alignment horizontal="center" vertical="center"/>
    </xf>
    <xf numFmtId="1" fontId="0" fillId="41" borderId="57" xfId="0" applyNumberFormat="1" applyFill="1" applyBorder="1" applyAlignment="1">
      <alignment horizontal="center" vertical="center"/>
    </xf>
    <xf numFmtId="1" fontId="0" fillId="41" borderId="65" xfId="0" applyNumberFormat="1" applyFill="1" applyBorder="1" applyAlignment="1">
      <alignment horizontal="center" vertical="center"/>
    </xf>
    <xf numFmtId="1" fontId="0" fillId="41" borderId="66" xfId="0" applyNumberFormat="1" applyFill="1" applyBorder="1" applyAlignment="1">
      <alignment horizontal="center" vertical="center"/>
    </xf>
    <xf numFmtId="1" fontId="0" fillId="41" borderId="86" xfId="0" applyNumberFormat="1" applyFill="1" applyBorder="1" applyAlignment="1">
      <alignment horizontal="center" vertical="center"/>
    </xf>
    <xf numFmtId="1" fontId="0" fillId="41" borderId="49" xfId="0" applyNumberFormat="1" applyFill="1" applyBorder="1" applyAlignment="1">
      <alignment horizontal="center" vertical="center"/>
    </xf>
    <xf numFmtId="1" fontId="0" fillId="41" borderId="81" xfId="0" applyNumberFormat="1" applyFill="1" applyBorder="1" applyAlignment="1">
      <alignment horizontal="center" vertical="center"/>
    </xf>
    <xf numFmtId="0" fontId="6" fillId="0" borderId="60" xfId="0" applyFont="1" applyBorder="1" applyAlignment="1">
      <alignment horizontal="center" vertical="center"/>
    </xf>
    <xf numFmtId="0" fontId="6" fillId="0" borderId="52" xfId="0" applyFont="1" applyBorder="1" applyAlignment="1">
      <alignment horizontal="center" vertical="center"/>
    </xf>
    <xf numFmtId="0" fontId="6"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02" xfId="0" applyFont="1" applyBorder="1" applyAlignment="1">
      <alignment horizontal="center" vertical="center"/>
    </xf>
    <xf numFmtId="0" fontId="6" fillId="0" borderId="130"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80" xfId="0" applyBorder="1" applyAlignment="1">
      <alignment vertical="center"/>
    </xf>
    <xf numFmtId="0" fontId="0" fillId="0" borderId="127" xfId="0" applyBorder="1" applyAlignment="1">
      <alignment vertical="center"/>
    </xf>
    <xf numFmtId="0" fontId="0" fillId="0" borderId="39" xfId="0" applyBorder="1" applyAlignment="1">
      <alignment vertical="center"/>
    </xf>
    <xf numFmtId="0" fontId="6" fillId="0" borderId="86" xfId="0" applyFont="1" applyBorder="1" applyAlignment="1">
      <alignment horizontal="right" vertical="center"/>
    </xf>
    <xf numFmtId="0" fontId="6" fillId="0" borderId="49" xfId="0" applyFont="1" applyBorder="1" applyAlignment="1">
      <alignment horizontal="right" vertical="center"/>
    </xf>
    <xf numFmtId="0" fontId="6" fillId="0" borderId="84" xfId="0" applyFont="1" applyBorder="1" applyAlignment="1">
      <alignment horizontal="right" vertical="center"/>
    </xf>
    <xf numFmtId="0" fontId="6" fillId="0" borderId="6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31" xfId="0" applyFont="1" applyBorder="1" applyAlignment="1">
      <alignment horizontal="center" vertical="center"/>
    </xf>
    <xf numFmtId="0" fontId="6" fillId="0" borderId="127" xfId="0" applyFont="1" applyBorder="1" applyAlignment="1">
      <alignment horizontal="center" vertical="center"/>
    </xf>
    <xf numFmtId="0" fontId="6" fillId="0" borderId="39" xfId="0" applyFont="1" applyBorder="1" applyAlignment="1">
      <alignment horizontal="center" vertical="center"/>
    </xf>
    <xf numFmtId="0" fontId="0" fillId="0" borderId="139" xfId="0" applyBorder="1" applyAlignment="1">
      <alignment horizontal="center" vertical="center"/>
    </xf>
    <xf numFmtId="0" fontId="0" fillId="0" borderId="71" xfId="0" applyBorder="1" applyAlignment="1">
      <alignment horizontal="center" vertical="center"/>
    </xf>
    <xf numFmtId="0" fontId="0" fillId="0" borderId="16" xfId="0" applyBorder="1" applyAlignment="1">
      <alignment horizontal="center" vertical="center" wrapText="1"/>
    </xf>
    <xf numFmtId="0" fontId="0" fillId="0" borderId="108" xfId="0"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6" fillId="0" borderId="68" xfId="0" applyFont="1" applyBorder="1" applyAlignment="1">
      <alignment horizontal="center" vertical="center"/>
    </xf>
    <xf numFmtId="0" fontId="6" fillId="0" borderId="28" xfId="0" applyFont="1" applyBorder="1" applyAlignment="1">
      <alignment horizontal="center" vertical="center"/>
    </xf>
    <xf numFmtId="0" fontId="6" fillId="0" borderId="126"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34" xfId="0" applyFont="1" applyBorder="1" applyAlignment="1">
      <alignment horizontal="center" vertical="center"/>
    </xf>
    <xf numFmtId="0" fontId="6" fillId="0" borderId="58"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0" fillId="0" borderId="72" xfId="0" applyBorder="1" applyAlignment="1">
      <alignment vertical="center"/>
    </xf>
    <xf numFmtId="0" fontId="0" fillId="0" borderId="20" xfId="0" applyBorder="1" applyAlignment="1">
      <alignment vertical="center"/>
    </xf>
    <xf numFmtId="0" fontId="0" fillId="0" borderId="53" xfId="0" applyBorder="1" applyAlignment="1">
      <alignment vertical="center"/>
    </xf>
    <xf numFmtId="1" fontId="0" fillId="41" borderId="83" xfId="0" applyNumberFormat="1" applyFill="1" applyBorder="1" applyAlignment="1">
      <alignment horizontal="center" vertical="center"/>
    </xf>
    <xf numFmtId="1" fontId="0" fillId="41" borderId="50" xfId="0" applyNumberFormat="1" applyFill="1" applyBorder="1" applyAlignment="1">
      <alignment horizontal="center" vertical="center"/>
    </xf>
    <xf numFmtId="0" fontId="0" fillId="0" borderId="78" xfId="0" applyBorder="1" applyAlignment="1">
      <alignment vertical="center"/>
    </xf>
    <xf numFmtId="0" fontId="0" fillId="0" borderId="16" xfId="0" applyBorder="1" applyAlignment="1">
      <alignment vertical="center"/>
    </xf>
    <xf numFmtId="0" fontId="0" fillId="0" borderId="77" xfId="0" applyBorder="1" applyAlignment="1">
      <alignment vertical="center"/>
    </xf>
    <xf numFmtId="0" fontId="0" fillId="0" borderId="143" xfId="0" applyBorder="1" applyAlignment="1">
      <alignment vertical="center"/>
    </xf>
    <xf numFmtId="0" fontId="0" fillId="0" borderId="109" xfId="0" applyBorder="1" applyAlignment="1">
      <alignment vertical="center"/>
    </xf>
    <xf numFmtId="0" fontId="0" fillId="0" borderId="112" xfId="0" applyBorder="1" applyAlignment="1">
      <alignment vertical="center"/>
    </xf>
    <xf numFmtId="0" fontId="0" fillId="0" borderId="121" xfId="0" applyBorder="1" applyAlignment="1">
      <alignment vertical="center"/>
    </xf>
    <xf numFmtId="0" fontId="0" fillId="0" borderId="98" xfId="0" applyBorder="1" applyAlignment="1">
      <alignment vertical="center"/>
    </xf>
    <xf numFmtId="0" fontId="0" fillId="0" borderId="55" xfId="0" applyBorder="1" applyAlignment="1">
      <alignment vertical="center"/>
    </xf>
    <xf numFmtId="0" fontId="0" fillId="0" borderId="77" xfId="0" applyBorder="1" applyAlignment="1">
      <alignment horizontal="center" vertical="center"/>
    </xf>
    <xf numFmtId="0" fontId="0" fillId="0" borderId="102" xfId="0" applyBorder="1" applyAlignment="1">
      <alignment horizontal="center" vertical="center"/>
    </xf>
    <xf numFmtId="0" fontId="0" fillId="0" borderId="131" xfId="0" applyFont="1" applyBorder="1" applyAlignment="1">
      <alignment horizontal="center" vertical="center"/>
    </xf>
    <xf numFmtId="0" fontId="0" fillId="0" borderId="69" xfId="0" applyFont="1" applyBorder="1" applyAlignment="1">
      <alignment horizontal="center" vertical="center"/>
    </xf>
    <xf numFmtId="0" fontId="0" fillId="0" borderId="113" xfId="0" applyBorder="1" applyAlignment="1">
      <alignment horizontal="center" vertical="center"/>
    </xf>
    <xf numFmtId="0" fontId="0" fillId="0" borderId="72" xfId="0" applyBorder="1" applyAlignment="1">
      <alignment horizontal="center" vertical="center"/>
    </xf>
    <xf numFmtId="0" fontId="0" fillId="0" borderId="40" xfId="0" applyBorder="1" applyAlignment="1">
      <alignment horizontal="center" vertical="center"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14" xfId="0" applyBorder="1" applyAlignment="1">
      <alignment horizontal="center" vertical="center" wrapText="1"/>
    </xf>
    <xf numFmtId="0" fontId="0" fillId="0" borderId="20" xfId="0"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02" xfId="0" applyBorder="1" applyAlignment="1">
      <alignment horizontal="center" vertical="center" wrapText="1"/>
    </xf>
    <xf numFmtId="0" fontId="0" fillId="0" borderId="123" xfId="0" applyFont="1" applyBorder="1" applyAlignment="1">
      <alignment horizontal="lef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0" fontId="0" fillId="0" borderId="113" xfId="0" applyFont="1" applyBorder="1" applyAlignment="1">
      <alignment horizontal="center" vertical="center"/>
    </xf>
    <xf numFmtId="0" fontId="0" fillId="0" borderId="137" xfId="0" applyFont="1" applyBorder="1" applyAlignment="1">
      <alignment horizontal="center" vertical="center"/>
    </xf>
    <xf numFmtId="0" fontId="0" fillId="0" borderId="53" xfId="0" applyFont="1" applyBorder="1" applyAlignment="1">
      <alignment horizontal="center" vertical="center" wrapText="1"/>
    </xf>
    <xf numFmtId="0" fontId="0" fillId="0" borderId="129" xfId="0" applyFont="1" applyBorder="1" applyAlignment="1">
      <alignment horizontal="left" vertical="center"/>
    </xf>
    <xf numFmtId="0" fontId="0" fillId="0" borderId="130" xfId="0" applyFont="1" applyBorder="1" applyAlignment="1">
      <alignment horizontal="left" vertical="center"/>
    </xf>
    <xf numFmtId="0" fontId="0" fillId="0" borderId="117" xfId="0" applyFont="1" applyBorder="1" applyAlignment="1">
      <alignment horizontal="left" vertical="center"/>
    </xf>
    <xf numFmtId="0" fontId="0" fillId="0" borderId="121" xfId="0" applyFont="1" applyBorder="1" applyAlignment="1">
      <alignment horizontal="left" vertical="center"/>
    </xf>
    <xf numFmtId="0" fontId="0" fillId="0" borderId="98" xfId="0" applyFont="1" applyBorder="1" applyAlignment="1">
      <alignment horizontal="left" vertical="center"/>
    </xf>
    <xf numFmtId="0" fontId="0" fillId="0" borderId="55" xfId="0" applyFont="1" applyBorder="1" applyAlignment="1">
      <alignment horizontal="left" vertical="center"/>
    </xf>
    <xf numFmtId="0" fontId="6" fillId="0" borderId="139" xfId="0" applyFont="1" applyBorder="1" applyAlignment="1">
      <alignment horizontal="center" vertical="center"/>
    </xf>
    <xf numFmtId="0" fontId="6" fillId="0" borderId="56" xfId="0" applyFont="1" applyBorder="1" applyAlignment="1">
      <alignment horizontal="center" vertical="center"/>
    </xf>
    <xf numFmtId="0" fontId="6" fillId="0" borderId="47" xfId="0" applyFont="1" applyBorder="1" applyAlignment="1">
      <alignment horizontal="center" vertical="center"/>
    </xf>
    <xf numFmtId="0" fontId="6" fillId="0" borderId="65" xfId="0" applyFont="1" applyBorder="1" applyAlignment="1">
      <alignment horizontal="center" vertical="center"/>
    </xf>
    <xf numFmtId="0" fontId="6" fillId="0" borderId="142" xfId="0" applyFont="1" applyBorder="1" applyAlignment="1">
      <alignment horizontal="center" vertical="center"/>
    </xf>
    <xf numFmtId="0" fontId="6" fillId="0" borderId="115" xfId="0" applyFont="1" applyBorder="1" applyAlignment="1">
      <alignment horizontal="center" vertical="center"/>
    </xf>
    <xf numFmtId="0" fontId="11" fillId="50" borderId="0" xfId="0" applyFont="1" applyFill="1" applyAlignment="1">
      <alignment horizontal="left" vertical="center"/>
    </xf>
    <xf numFmtId="0" fontId="6" fillId="0" borderId="105"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132" xfId="0" applyFont="1" applyBorder="1" applyAlignment="1">
      <alignment horizontal="center" vertical="center"/>
    </xf>
    <xf numFmtId="0" fontId="6" fillId="0" borderId="131"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0" xfId="0" applyFont="1" applyAlignment="1">
      <alignment horizontal="center" vertical="center" wrapText="1"/>
    </xf>
    <xf numFmtId="0" fontId="30" fillId="46" borderId="0" xfId="0" applyFont="1" applyFill="1" applyAlignment="1">
      <alignment horizontal="center" vertical="center"/>
    </xf>
    <xf numFmtId="0" fontId="0" fillId="0" borderId="135" xfId="73" applyBorder="1" applyAlignment="1">
      <alignment vertical="center"/>
      <protection/>
    </xf>
    <xf numFmtId="0" fontId="0" fillId="0" borderId="115" xfId="73" applyBorder="1" applyAlignment="1">
      <alignment vertical="center"/>
      <protection/>
    </xf>
    <xf numFmtId="0" fontId="0" fillId="0" borderId="116" xfId="73" applyBorder="1" applyAlignment="1">
      <alignment vertical="center"/>
      <protection/>
    </xf>
    <xf numFmtId="0" fontId="6" fillId="0" borderId="113" xfId="73" applyFont="1" applyBorder="1" applyAlignment="1">
      <alignment vertical="center"/>
      <protection/>
    </xf>
    <xf numFmtId="0" fontId="6" fillId="0" borderId="74" xfId="73" applyFont="1" applyBorder="1" applyAlignment="1">
      <alignment vertical="center"/>
      <protection/>
    </xf>
    <xf numFmtId="0" fontId="0" fillId="0" borderId="133" xfId="73" applyBorder="1" applyAlignment="1">
      <alignment vertical="center"/>
      <protection/>
    </xf>
    <xf numFmtId="0" fontId="0" fillId="0" borderId="130" xfId="73" applyBorder="1" applyAlignment="1">
      <alignment vertical="center"/>
      <protection/>
    </xf>
    <xf numFmtId="0" fontId="0" fillId="0" borderId="117" xfId="73" applyBorder="1" applyAlignment="1">
      <alignment vertical="center"/>
      <protection/>
    </xf>
    <xf numFmtId="0" fontId="0" fillId="0" borderId="99" xfId="73" applyBorder="1" applyAlignment="1">
      <alignment vertical="center"/>
      <protection/>
    </xf>
    <xf numFmtId="0" fontId="0" fillId="0" borderId="100" xfId="73" applyBorder="1" applyAlignment="1">
      <alignment vertical="center"/>
      <protection/>
    </xf>
    <xf numFmtId="0" fontId="0" fillId="0" borderId="101" xfId="73" applyBorder="1" applyAlignment="1">
      <alignment vertical="center"/>
      <protection/>
    </xf>
    <xf numFmtId="0" fontId="3" fillId="0" borderId="0" xfId="73" applyFont="1" applyBorder="1" applyAlignment="1">
      <alignment horizontal="center" vertical="center" wrapText="1"/>
      <protection/>
    </xf>
    <xf numFmtId="0" fontId="6" fillId="0" borderId="113" xfId="73" applyFont="1" applyBorder="1" applyAlignment="1">
      <alignment vertical="center" wrapText="1"/>
      <protection/>
    </xf>
    <xf numFmtId="0" fontId="6" fillId="0" borderId="74" xfId="73" applyFont="1" applyBorder="1" applyAlignment="1">
      <alignment vertical="center" wrapText="1"/>
      <protection/>
    </xf>
    <xf numFmtId="0" fontId="6" fillId="0" borderId="119" xfId="73" applyFont="1" applyBorder="1" applyAlignment="1">
      <alignment horizontal="center" vertical="center" wrapText="1"/>
      <protection/>
    </xf>
    <xf numFmtId="0" fontId="6" fillId="0" borderId="115" xfId="73" applyFont="1" applyBorder="1" applyAlignment="1">
      <alignment horizontal="center" vertical="center" wrapText="1"/>
      <protection/>
    </xf>
    <xf numFmtId="0" fontId="6" fillId="0" borderId="116" xfId="73" applyFont="1" applyBorder="1" applyAlignment="1">
      <alignment horizontal="center" vertical="center" wrapText="1"/>
      <protection/>
    </xf>
    <xf numFmtId="0" fontId="6" fillId="0" borderId="129" xfId="73" applyFont="1" applyBorder="1" applyAlignment="1">
      <alignment horizontal="center" vertical="center" wrapText="1"/>
      <protection/>
    </xf>
    <xf numFmtId="0" fontId="6" fillId="0" borderId="130" xfId="73" applyFont="1" applyBorder="1" applyAlignment="1">
      <alignment horizontal="center" vertical="center" wrapText="1"/>
      <protection/>
    </xf>
    <xf numFmtId="0" fontId="6" fillId="0" borderId="117" xfId="73" applyFont="1" applyBorder="1" applyAlignment="1">
      <alignment horizontal="center" vertical="center" wrapText="1"/>
      <protection/>
    </xf>
    <xf numFmtId="0" fontId="0" fillId="0" borderId="97" xfId="73" applyFont="1" applyBorder="1" applyAlignment="1">
      <alignment horizontal="center" vertical="center" wrapText="1"/>
      <protection/>
    </xf>
    <xf numFmtId="0" fontId="0" fillId="0" borderId="98" xfId="73" applyFont="1" applyBorder="1" applyAlignment="1">
      <alignment horizontal="center" vertical="center" wrapText="1"/>
      <protection/>
    </xf>
    <xf numFmtId="0" fontId="0" fillId="0" borderId="55" xfId="73" applyFont="1" applyBorder="1" applyAlignment="1">
      <alignment horizontal="center" vertical="center" wrapText="1"/>
      <protection/>
    </xf>
    <xf numFmtId="0" fontId="0" fillId="0" borderId="99" xfId="73" applyFont="1" applyBorder="1" applyAlignment="1">
      <alignment horizontal="center" vertical="center" wrapText="1"/>
      <protection/>
    </xf>
    <xf numFmtId="0" fontId="0" fillId="0" borderId="100" xfId="73" applyFont="1" applyBorder="1" applyAlignment="1">
      <alignment horizontal="center" vertical="center" wrapText="1"/>
      <protection/>
    </xf>
    <xf numFmtId="0" fontId="0" fillId="0" borderId="101" xfId="73" applyFont="1" applyBorder="1" applyAlignment="1">
      <alignment horizontal="center" vertical="center" wrapText="1"/>
      <protection/>
    </xf>
    <xf numFmtId="0" fontId="3" fillId="0" borderId="146" xfId="73" applyFont="1" applyBorder="1" applyAlignment="1">
      <alignment horizontal="center" vertical="center" wrapText="1"/>
      <protection/>
    </xf>
    <xf numFmtId="0" fontId="3" fillId="0" borderId="49" xfId="73" applyFont="1" applyBorder="1" applyAlignment="1">
      <alignment horizontal="center" vertical="center" wrapText="1"/>
      <protection/>
    </xf>
    <xf numFmtId="0" fontId="3" fillId="0" borderId="147" xfId="73" applyFont="1" applyBorder="1" applyAlignment="1">
      <alignment horizontal="center" vertical="center" wrapText="1"/>
      <protection/>
    </xf>
    <xf numFmtId="0" fontId="6" fillId="63" borderId="148" xfId="73" applyFont="1" applyFill="1" applyBorder="1" applyAlignment="1">
      <alignment horizontal="center" vertical="center" wrapText="1"/>
      <protection/>
    </xf>
    <xf numFmtId="0" fontId="6" fillId="63" borderId="115" xfId="73" applyFont="1" applyFill="1" applyBorder="1" applyAlignment="1">
      <alignment horizontal="center" vertical="center" wrapText="1"/>
      <protection/>
    </xf>
    <xf numFmtId="0" fontId="6" fillId="63" borderId="149" xfId="73" applyFont="1" applyFill="1" applyBorder="1" applyAlignment="1">
      <alignment horizontal="center" vertical="center" wrapText="1"/>
      <protection/>
    </xf>
    <xf numFmtId="0" fontId="0" fillId="0" borderId="148" xfId="73" applyFont="1" applyBorder="1" applyAlignment="1">
      <alignment vertical="center"/>
      <protection/>
    </xf>
    <xf numFmtId="0" fontId="0" fillId="0" borderId="115" xfId="73" applyFont="1" applyBorder="1" applyAlignment="1">
      <alignment vertical="center"/>
      <protection/>
    </xf>
    <xf numFmtId="0" fontId="0" fillId="0" borderId="149" xfId="73" applyFont="1" applyBorder="1" applyAlignment="1">
      <alignment vertical="center"/>
      <protection/>
    </xf>
    <xf numFmtId="0" fontId="0" fillId="0" borderId="150" xfId="73" applyBorder="1" applyAlignment="1">
      <alignment horizontal="center" vertical="center"/>
      <protection/>
    </xf>
    <xf numFmtId="0" fontId="0" fillId="0" borderId="151" xfId="73" applyBorder="1" applyAlignment="1">
      <alignment horizontal="center" vertical="center"/>
      <protection/>
    </xf>
    <xf numFmtId="0" fontId="0" fillId="0" borderId="138" xfId="73" applyBorder="1" applyAlignment="1">
      <alignment vertical="center"/>
      <protection/>
    </xf>
    <xf numFmtId="0" fontId="0" fillId="0" borderId="104" xfId="73" applyBorder="1" applyAlignment="1">
      <alignment vertical="center"/>
      <protection/>
    </xf>
    <xf numFmtId="0" fontId="0" fillId="0" borderId="152" xfId="73" applyBorder="1" applyAlignment="1">
      <alignment vertical="center"/>
      <protection/>
    </xf>
    <xf numFmtId="0" fontId="0" fillId="0" borderId="140" xfId="73" applyBorder="1" applyAlignment="1">
      <alignment vertical="center"/>
      <protection/>
    </xf>
    <xf numFmtId="0" fontId="0" fillId="0" borderId="107" xfId="73" applyBorder="1" applyAlignment="1">
      <alignment vertical="center"/>
      <protection/>
    </xf>
    <xf numFmtId="0" fontId="0" fillId="0" borderId="153" xfId="73" applyBorder="1" applyAlignment="1">
      <alignment vertical="center"/>
      <protection/>
    </xf>
    <xf numFmtId="0" fontId="0" fillId="0" borderId="154" xfId="73" applyBorder="1" applyAlignment="1">
      <alignment vertical="center"/>
      <protection/>
    </xf>
    <xf numFmtId="0" fontId="0" fillId="0" borderId="0" xfId="0" applyFont="1" applyBorder="1" applyAlignment="1">
      <alignment vertical="center"/>
    </xf>
    <xf numFmtId="0" fontId="0" fillId="0" borderId="67" xfId="0" applyFont="1" applyBorder="1" applyAlignment="1">
      <alignment vertical="center"/>
    </xf>
    <xf numFmtId="0" fontId="0" fillId="63" borderId="148" xfId="73" applyFill="1" applyBorder="1" applyAlignment="1">
      <alignment horizontal="center" vertical="center"/>
      <protection/>
    </xf>
    <xf numFmtId="0" fontId="0" fillId="63" borderId="115" xfId="73" applyFill="1" applyBorder="1" applyAlignment="1">
      <alignment horizontal="center" vertical="center"/>
      <protection/>
    </xf>
    <xf numFmtId="0" fontId="0" fillId="63" borderId="149" xfId="73" applyFill="1" applyBorder="1" applyAlignment="1">
      <alignment horizontal="center" vertical="center"/>
      <protection/>
    </xf>
    <xf numFmtId="0" fontId="0" fillId="0" borderId="148" xfId="73" applyFont="1" applyBorder="1" applyAlignment="1" quotePrefix="1">
      <alignment vertical="center"/>
      <protection/>
    </xf>
    <xf numFmtId="0" fontId="0" fillId="0" borderId="115" xfId="73" applyFont="1" applyBorder="1" applyAlignment="1" quotePrefix="1">
      <alignment vertical="center"/>
      <protection/>
    </xf>
    <xf numFmtId="0" fontId="0" fillId="0" borderId="149" xfId="73" applyFont="1" applyBorder="1" applyAlignment="1" quotePrefix="1">
      <alignment vertical="center"/>
      <protection/>
    </xf>
    <xf numFmtId="0" fontId="0" fillId="0" borderId="155" xfId="73" applyFont="1" applyBorder="1" applyAlignment="1">
      <alignment vertical="center" wrapText="1"/>
      <protection/>
    </xf>
    <xf numFmtId="0" fontId="0" fillId="0" borderId="130" xfId="73" applyFont="1" applyBorder="1" applyAlignment="1">
      <alignment vertical="center" wrapText="1"/>
      <protection/>
    </xf>
    <xf numFmtId="0" fontId="0" fillId="0" borderId="156" xfId="73" applyFont="1" applyBorder="1" applyAlignment="1">
      <alignment vertical="center" wrapText="1"/>
      <protection/>
    </xf>
    <xf numFmtId="0" fontId="0" fillId="0" borderId="157" xfId="73" applyFont="1" applyBorder="1" applyAlignment="1">
      <alignment vertical="center" wrapText="1"/>
      <protection/>
    </xf>
    <xf numFmtId="0" fontId="0" fillId="0" borderId="100" xfId="73" applyFont="1" applyBorder="1" applyAlignment="1">
      <alignment vertical="center" wrapText="1"/>
      <protection/>
    </xf>
    <xf numFmtId="0" fontId="0" fillId="0" borderId="154" xfId="73" applyFont="1" applyBorder="1" applyAlignment="1">
      <alignment vertical="center" wrapText="1"/>
      <protection/>
    </xf>
    <xf numFmtId="0" fontId="0" fillId="0" borderId="148" xfId="0" applyFont="1" applyBorder="1" applyAlignment="1">
      <alignment vertical="center" wrapText="1"/>
    </xf>
    <xf numFmtId="0" fontId="0" fillId="0" borderId="115" xfId="0" applyFont="1" applyBorder="1" applyAlignment="1">
      <alignment vertical="center" wrapText="1"/>
    </xf>
    <xf numFmtId="0" fontId="0" fillId="0" borderId="149" xfId="0" applyFont="1" applyBorder="1" applyAlignment="1">
      <alignment vertical="center" wrapText="1"/>
    </xf>
    <xf numFmtId="0" fontId="0" fillId="0" borderId="21" xfId="0" applyFont="1" applyBorder="1" applyAlignment="1">
      <alignment vertical="center"/>
    </xf>
    <xf numFmtId="0" fontId="0" fillId="0" borderId="158"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wrapText="1"/>
    </xf>
    <xf numFmtId="0" fontId="0" fillId="0" borderId="67" xfId="0" applyFont="1" applyBorder="1" applyAlignment="1">
      <alignment vertical="center" wrapText="1"/>
    </xf>
    <xf numFmtId="0" fontId="0" fillId="0" borderId="78" xfId="73" applyFont="1" applyBorder="1" applyAlignment="1">
      <alignment horizontal="center" vertical="center"/>
      <protection/>
    </xf>
    <xf numFmtId="0" fontId="0" fillId="0" borderId="72" xfId="73" applyFont="1" applyBorder="1" applyAlignment="1">
      <alignment horizontal="center" vertical="center"/>
      <protection/>
    </xf>
    <xf numFmtId="0" fontId="0" fillId="0" borderId="0" xfId="73" applyBorder="1" applyAlignment="1">
      <alignment horizontal="center" vertical="center" wrapText="1"/>
      <protection/>
    </xf>
    <xf numFmtId="0" fontId="0" fillId="0" borderId="47" xfId="73" applyBorder="1" applyAlignment="1">
      <alignment horizontal="center" vertical="center" wrapText="1"/>
      <protection/>
    </xf>
    <xf numFmtId="0" fontId="3" fillId="0" borderId="159" xfId="73" applyFont="1" applyBorder="1" applyAlignment="1">
      <alignment horizontal="center" vertical="center"/>
      <protection/>
    </xf>
    <xf numFmtId="0" fontId="3" fillId="0" borderId="160" xfId="73" applyFont="1" applyBorder="1" applyAlignment="1">
      <alignment horizontal="center" vertical="center"/>
      <protection/>
    </xf>
    <xf numFmtId="0" fontId="3" fillId="0" borderId="161" xfId="73" applyFont="1" applyBorder="1" applyAlignment="1">
      <alignment horizontal="center" vertical="center"/>
      <protection/>
    </xf>
    <xf numFmtId="0" fontId="0" fillId="63" borderId="148" xfId="73" applyFont="1" applyFill="1" applyBorder="1" applyAlignment="1">
      <alignment horizontal="center" vertical="center"/>
      <protection/>
    </xf>
    <xf numFmtId="0" fontId="0" fillId="63" borderId="115" xfId="73" applyFont="1" applyFill="1" applyBorder="1" applyAlignment="1">
      <alignment horizontal="center" vertical="center"/>
      <protection/>
    </xf>
    <xf numFmtId="0" fontId="0" fillId="63" borderId="149" xfId="73" applyFont="1" applyFill="1" applyBorder="1" applyAlignment="1">
      <alignment horizontal="center" vertical="center"/>
      <protection/>
    </xf>
    <xf numFmtId="0" fontId="0" fillId="0" borderId="162" xfId="0" applyFont="1" applyBorder="1" applyAlignment="1">
      <alignment vertical="center"/>
    </xf>
    <xf numFmtId="0" fontId="0" fillId="0" borderId="104" xfId="0" applyFont="1" applyBorder="1" applyAlignment="1">
      <alignment vertical="center"/>
    </xf>
    <xf numFmtId="0" fontId="0" fillId="0" borderId="152" xfId="0" applyFont="1" applyBorder="1" applyAlignment="1">
      <alignment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omma0 3" xfId="46"/>
    <cellStyle name="Currency" xfId="47"/>
    <cellStyle name="Currency [0]" xfId="48"/>
    <cellStyle name="Currency 2" xfId="49"/>
    <cellStyle name="Currency 3" xfId="50"/>
    <cellStyle name="Currency0" xfId="51"/>
    <cellStyle name="Currency0 2" xfId="52"/>
    <cellStyle name="Currency0 3" xfId="53"/>
    <cellStyle name="Date" xfId="54"/>
    <cellStyle name="Date 2" xfId="55"/>
    <cellStyle name="Date 3" xfId="56"/>
    <cellStyle name="Explanatory Text" xfId="57"/>
    <cellStyle name="Fixed" xfId="58"/>
    <cellStyle name="Fixed 2" xfId="59"/>
    <cellStyle name="Fixed 3"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3" xfId="72"/>
    <cellStyle name="Normal_8826_Incentive Calculator" xfId="73"/>
    <cellStyle name="Note" xfId="74"/>
    <cellStyle name="Output" xfId="75"/>
    <cellStyle name="Percent" xfId="76"/>
    <cellStyle name="Percent 2" xfId="77"/>
    <cellStyle name="Percent 3" xfId="78"/>
    <cellStyle name="Title" xfId="79"/>
    <cellStyle name="Total" xfId="80"/>
    <cellStyle name="Total 2" xfId="81"/>
    <cellStyle name="Total 3"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123825</xdr:rowOff>
    </xdr:from>
    <xdr:to>
      <xdr:col>0</xdr:col>
      <xdr:colOff>66675</xdr:colOff>
      <xdr:row>1</xdr:row>
      <xdr:rowOff>47625</xdr:rowOff>
    </xdr:to>
    <xdr:pic>
      <xdr:nvPicPr>
        <xdr:cNvPr id="1" name="TempCombo" hidden="1"/>
        <xdr:cNvPicPr preferRelativeResize="1">
          <a:picLocks noChangeAspect="1"/>
        </xdr:cNvPicPr>
      </xdr:nvPicPr>
      <xdr:blipFill>
        <a:blip r:embed="rId1"/>
        <a:stretch>
          <a:fillRect/>
        </a:stretch>
      </xdr:blipFill>
      <xdr:spPr>
        <a:xfrm>
          <a:off x="57150" y="123825"/>
          <a:ext cx="9525" cy="85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419100</xdr:colOff>
      <xdr:row>6</xdr:row>
      <xdr:rowOff>0</xdr:rowOff>
    </xdr:from>
    <xdr:to>
      <xdr:col>12</xdr:col>
      <xdr:colOff>0</xdr:colOff>
      <xdr:row>6</xdr:row>
      <xdr:rowOff>95250</xdr:rowOff>
    </xdr:to>
    <xdr:sp fLocksText="0">
      <xdr:nvSpPr>
        <xdr:cNvPr id="1" name="Text Box 18"/>
        <xdr:cNvSpPr txBox="1">
          <a:spLocks noChangeArrowheads="1"/>
        </xdr:cNvSpPr>
      </xdr:nvSpPr>
      <xdr:spPr>
        <a:xfrm>
          <a:off x="9258300" y="1047750"/>
          <a:ext cx="590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400050</xdr:colOff>
      <xdr:row>5</xdr:row>
      <xdr:rowOff>38100</xdr:rowOff>
    </xdr:from>
    <xdr:to>
      <xdr:col>13</xdr:col>
      <xdr:colOff>76200</xdr:colOff>
      <xdr:row>8</xdr:row>
      <xdr:rowOff>0</xdr:rowOff>
    </xdr:to>
    <xdr:sp fLocksText="0">
      <xdr:nvSpPr>
        <xdr:cNvPr id="2" name="Text Box 19"/>
        <xdr:cNvSpPr txBox="1">
          <a:spLocks noChangeArrowheads="1"/>
        </xdr:cNvSpPr>
      </xdr:nvSpPr>
      <xdr:spPr>
        <a:xfrm>
          <a:off x="10248900" y="1009650"/>
          <a:ext cx="7429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5</xdr:row>
      <xdr:rowOff>0</xdr:rowOff>
    </xdr:from>
    <xdr:to>
      <xdr:col>19</xdr:col>
      <xdr:colOff>333375</xdr:colOff>
      <xdr:row>5</xdr:row>
      <xdr:rowOff>28575</xdr:rowOff>
    </xdr:to>
    <xdr:sp fLocksText="0">
      <xdr:nvSpPr>
        <xdr:cNvPr id="3" name="Text Box 20"/>
        <xdr:cNvSpPr txBox="1">
          <a:spLocks noChangeArrowheads="1"/>
        </xdr:cNvSpPr>
      </xdr:nvSpPr>
      <xdr:spPr>
        <a:xfrm>
          <a:off x="17030700" y="971550"/>
          <a:ext cx="1238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6</xdr:row>
      <xdr:rowOff>0</xdr:rowOff>
    </xdr:from>
    <xdr:to>
      <xdr:col>12</xdr:col>
      <xdr:colOff>0</xdr:colOff>
      <xdr:row>6</xdr:row>
      <xdr:rowOff>95250</xdr:rowOff>
    </xdr:to>
    <xdr:sp fLocksText="0">
      <xdr:nvSpPr>
        <xdr:cNvPr id="4" name="Text Box 18"/>
        <xdr:cNvSpPr txBox="1">
          <a:spLocks noChangeArrowheads="1"/>
        </xdr:cNvSpPr>
      </xdr:nvSpPr>
      <xdr:spPr>
        <a:xfrm>
          <a:off x="9258300" y="1047750"/>
          <a:ext cx="590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400050</xdr:colOff>
      <xdr:row>5</xdr:row>
      <xdr:rowOff>38100</xdr:rowOff>
    </xdr:from>
    <xdr:to>
      <xdr:col>13</xdr:col>
      <xdr:colOff>76200</xdr:colOff>
      <xdr:row>8</xdr:row>
      <xdr:rowOff>0</xdr:rowOff>
    </xdr:to>
    <xdr:sp fLocksText="0">
      <xdr:nvSpPr>
        <xdr:cNvPr id="5" name="Text Box 19"/>
        <xdr:cNvSpPr txBox="1">
          <a:spLocks noChangeArrowheads="1"/>
        </xdr:cNvSpPr>
      </xdr:nvSpPr>
      <xdr:spPr>
        <a:xfrm>
          <a:off x="10248900" y="1009650"/>
          <a:ext cx="7429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5</xdr:row>
      <xdr:rowOff>0</xdr:rowOff>
    </xdr:from>
    <xdr:to>
      <xdr:col>19</xdr:col>
      <xdr:colOff>333375</xdr:colOff>
      <xdr:row>5</xdr:row>
      <xdr:rowOff>28575</xdr:rowOff>
    </xdr:to>
    <xdr:sp fLocksText="0">
      <xdr:nvSpPr>
        <xdr:cNvPr id="6" name="Text Box 20"/>
        <xdr:cNvSpPr txBox="1">
          <a:spLocks noChangeArrowheads="1"/>
        </xdr:cNvSpPr>
      </xdr:nvSpPr>
      <xdr:spPr>
        <a:xfrm>
          <a:off x="17030700" y="971550"/>
          <a:ext cx="1238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6</xdr:row>
      <xdr:rowOff>0</xdr:rowOff>
    </xdr:from>
    <xdr:to>
      <xdr:col>12</xdr:col>
      <xdr:colOff>0</xdr:colOff>
      <xdr:row>6</xdr:row>
      <xdr:rowOff>95250</xdr:rowOff>
    </xdr:to>
    <xdr:sp fLocksText="0">
      <xdr:nvSpPr>
        <xdr:cNvPr id="7" name="Text Box 18"/>
        <xdr:cNvSpPr txBox="1">
          <a:spLocks noChangeArrowheads="1"/>
        </xdr:cNvSpPr>
      </xdr:nvSpPr>
      <xdr:spPr>
        <a:xfrm>
          <a:off x="9258300" y="1047750"/>
          <a:ext cx="590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400050</xdr:colOff>
      <xdr:row>5</xdr:row>
      <xdr:rowOff>38100</xdr:rowOff>
    </xdr:from>
    <xdr:to>
      <xdr:col>13</xdr:col>
      <xdr:colOff>76200</xdr:colOff>
      <xdr:row>8</xdr:row>
      <xdr:rowOff>0</xdr:rowOff>
    </xdr:to>
    <xdr:sp fLocksText="0">
      <xdr:nvSpPr>
        <xdr:cNvPr id="8" name="Text Box 19"/>
        <xdr:cNvSpPr txBox="1">
          <a:spLocks noChangeArrowheads="1"/>
        </xdr:cNvSpPr>
      </xdr:nvSpPr>
      <xdr:spPr>
        <a:xfrm>
          <a:off x="10248900" y="1009650"/>
          <a:ext cx="7429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5</xdr:row>
      <xdr:rowOff>0</xdr:rowOff>
    </xdr:from>
    <xdr:to>
      <xdr:col>19</xdr:col>
      <xdr:colOff>333375</xdr:colOff>
      <xdr:row>5</xdr:row>
      <xdr:rowOff>28575</xdr:rowOff>
    </xdr:to>
    <xdr:sp fLocksText="0">
      <xdr:nvSpPr>
        <xdr:cNvPr id="9" name="Text Box 20"/>
        <xdr:cNvSpPr txBox="1">
          <a:spLocks noChangeArrowheads="1"/>
        </xdr:cNvSpPr>
      </xdr:nvSpPr>
      <xdr:spPr>
        <a:xfrm>
          <a:off x="17030700" y="971550"/>
          <a:ext cx="1238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5</xdr:row>
      <xdr:rowOff>0</xdr:rowOff>
    </xdr:from>
    <xdr:to>
      <xdr:col>19</xdr:col>
      <xdr:colOff>333375</xdr:colOff>
      <xdr:row>5</xdr:row>
      <xdr:rowOff>28575</xdr:rowOff>
    </xdr:to>
    <xdr:sp fLocksText="0">
      <xdr:nvSpPr>
        <xdr:cNvPr id="10" name="Text Box 20"/>
        <xdr:cNvSpPr txBox="1">
          <a:spLocks noChangeArrowheads="1"/>
        </xdr:cNvSpPr>
      </xdr:nvSpPr>
      <xdr:spPr>
        <a:xfrm>
          <a:off x="17030700" y="971550"/>
          <a:ext cx="1238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39</xdr:row>
      <xdr:rowOff>0</xdr:rowOff>
    </xdr:from>
    <xdr:to>
      <xdr:col>6</xdr:col>
      <xdr:colOff>76200</xdr:colOff>
      <xdr:row>40</xdr:row>
      <xdr:rowOff>0</xdr:rowOff>
    </xdr:to>
    <xdr:sp fLocksText="0">
      <xdr:nvSpPr>
        <xdr:cNvPr id="11" name="Text Box 19"/>
        <xdr:cNvSpPr txBox="1">
          <a:spLocks noChangeArrowheads="1"/>
        </xdr:cNvSpPr>
      </xdr:nvSpPr>
      <xdr:spPr>
        <a:xfrm>
          <a:off x="3343275" y="735330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39</xdr:row>
      <xdr:rowOff>0</xdr:rowOff>
    </xdr:from>
    <xdr:to>
      <xdr:col>6</xdr:col>
      <xdr:colOff>76200</xdr:colOff>
      <xdr:row>40</xdr:row>
      <xdr:rowOff>0</xdr:rowOff>
    </xdr:to>
    <xdr:sp fLocksText="0">
      <xdr:nvSpPr>
        <xdr:cNvPr id="12" name="Text Box 19"/>
        <xdr:cNvSpPr txBox="1">
          <a:spLocks noChangeArrowheads="1"/>
        </xdr:cNvSpPr>
      </xdr:nvSpPr>
      <xdr:spPr>
        <a:xfrm>
          <a:off x="3343275" y="735330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39</xdr:row>
      <xdr:rowOff>0</xdr:rowOff>
    </xdr:from>
    <xdr:to>
      <xdr:col>6</xdr:col>
      <xdr:colOff>76200</xdr:colOff>
      <xdr:row>40</xdr:row>
      <xdr:rowOff>0</xdr:rowOff>
    </xdr:to>
    <xdr:sp fLocksText="0">
      <xdr:nvSpPr>
        <xdr:cNvPr id="13" name="Text Box 19"/>
        <xdr:cNvSpPr txBox="1">
          <a:spLocks noChangeArrowheads="1"/>
        </xdr:cNvSpPr>
      </xdr:nvSpPr>
      <xdr:spPr>
        <a:xfrm>
          <a:off x="3343275" y="735330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39</xdr:row>
      <xdr:rowOff>0</xdr:rowOff>
    </xdr:from>
    <xdr:to>
      <xdr:col>6</xdr:col>
      <xdr:colOff>76200</xdr:colOff>
      <xdr:row>40</xdr:row>
      <xdr:rowOff>0</xdr:rowOff>
    </xdr:to>
    <xdr:sp fLocksText="0">
      <xdr:nvSpPr>
        <xdr:cNvPr id="14" name="Text Box 19"/>
        <xdr:cNvSpPr txBox="1">
          <a:spLocks noChangeArrowheads="1"/>
        </xdr:cNvSpPr>
      </xdr:nvSpPr>
      <xdr:spPr>
        <a:xfrm>
          <a:off x="3343275" y="735330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57</xdr:row>
      <xdr:rowOff>19050</xdr:rowOff>
    </xdr:from>
    <xdr:to>
      <xdr:col>5</xdr:col>
      <xdr:colOff>590550</xdr:colOff>
      <xdr:row>58</xdr:row>
      <xdr:rowOff>19050</xdr:rowOff>
    </xdr:to>
    <xdr:sp fLocksText="0">
      <xdr:nvSpPr>
        <xdr:cNvPr id="15" name="Text Box 19"/>
        <xdr:cNvSpPr txBox="1">
          <a:spLocks noChangeArrowheads="1"/>
        </xdr:cNvSpPr>
      </xdr:nvSpPr>
      <xdr:spPr>
        <a:xfrm>
          <a:off x="3267075" y="10591800"/>
          <a:ext cx="809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57</xdr:row>
      <xdr:rowOff>0</xdr:rowOff>
    </xdr:from>
    <xdr:to>
      <xdr:col>6</xdr:col>
      <xdr:colOff>76200</xdr:colOff>
      <xdr:row>58</xdr:row>
      <xdr:rowOff>0</xdr:rowOff>
    </xdr:to>
    <xdr:sp fLocksText="0">
      <xdr:nvSpPr>
        <xdr:cNvPr id="16" name="Text Box 19"/>
        <xdr:cNvSpPr txBox="1">
          <a:spLocks noChangeArrowheads="1"/>
        </xdr:cNvSpPr>
      </xdr:nvSpPr>
      <xdr:spPr>
        <a:xfrm>
          <a:off x="3343275" y="1057275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57</xdr:row>
      <xdr:rowOff>0</xdr:rowOff>
    </xdr:from>
    <xdr:to>
      <xdr:col>6</xdr:col>
      <xdr:colOff>76200</xdr:colOff>
      <xdr:row>58</xdr:row>
      <xdr:rowOff>0</xdr:rowOff>
    </xdr:to>
    <xdr:sp fLocksText="0">
      <xdr:nvSpPr>
        <xdr:cNvPr id="17" name="Text Box 19"/>
        <xdr:cNvSpPr txBox="1">
          <a:spLocks noChangeArrowheads="1"/>
        </xdr:cNvSpPr>
      </xdr:nvSpPr>
      <xdr:spPr>
        <a:xfrm>
          <a:off x="3343275" y="1057275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57</xdr:row>
      <xdr:rowOff>0</xdr:rowOff>
    </xdr:from>
    <xdr:to>
      <xdr:col>6</xdr:col>
      <xdr:colOff>76200</xdr:colOff>
      <xdr:row>58</xdr:row>
      <xdr:rowOff>0</xdr:rowOff>
    </xdr:to>
    <xdr:sp fLocksText="0">
      <xdr:nvSpPr>
        <xdr:cNvPr id="18" name="Text Box 19"/>
        <xdr:cNvSpPr txBox="1">
          <a:spLocks noChangeArrowheads="1"/>
        </xdr:cNvSpPr>
      </xdr:nvSpPr>
      <xdr:spPr>
        <a:xfrm>
          <a:off x="3343275" y="1057275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74</xdr:row>
      <xdr:rowOff>19050</xdr:rowOff>
    </xdr:from>
    <xdr:to>
      <xdr:col>5</xdr:col>
      <xdr:colOff>590550</xdr:colOff>
      <xdr:row>75</xdr:row>
      <xdr:rowOff>19050</xdr:rowOff>
    </xdr:to>
    <xdr:sp fLocksText="0">
      <xdr:nvSpPr>
        <xdr:cNvPr id="19" name="Text Box 19"/>
        <xdr:cNvSpPr txBox="1">
          <a:spLocks noChangeArrowheads="1"/>
        </xdr:cNvSpPr>
      </xdr:nvSpPr>
      <xdr:spPr>
        <a:xfrm>
          <a:off x="3267075" y="13906500"/>
          <a:ext cx="8096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74</xdr:row>
      <xdr:rowOff>0</xdr:rowOff>
    </xdr:from>
    <xdr:to>
      <xdr:col>6</xdr:col>
      <xdr:colOff>76200</xdr:colOff>
      <xdr:row>75</xdr:row>
      <xdr:rowOff>0</xdr:rowOff>
    </xdr:to>
    <xdr:sp fLocksText="0">
      <xdr:nvSpPr>
        <xdr:cNvPr id="20" name="Text Box 19"/>
        <xdr:cNvSpPr txBox="1">
          <a:spLocks noChangeArrowheads="1"/>
        </xdr:cNvSpPr>
      </xdr:nvSpPr>
      <xdr:spPr>
        <a:xfrm>
          <a:off x="3343275" y="1388745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74</xdr:row>
      <xdr:rowOff>0</xdr:rowOff>
    </xdr:from>
    <xdr:to>
      <xdr:col>6</xdr:col>
      <xdr:colOff>76200</xdr:colOff>
      <xdr:row>75</xdr:row>
      <xdr:rowOff>0</xdr:rowOff>
    </xdr:to>
    <xdr:sp fLocksText="0">
      <xdr:nvSpPr>
        <xdr:cNvPr id="21" name="Text Box 19"/>
        <xdr:cNvSpPr txBox="1">
          <a:spLocks noChangeArrowheads="1"/>
        </xdr:cNvSpPr>
      </xdr:nvSpPr>
      <xdr:spPr>
        <a:xfrm>
          <a:off x="3343275" y="1388745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74</xdr:row>
      <xdr:rowOff>0</xdr:rowOff>
    </xdr:from>
    <xdr:to>
      <xdr:col>6</xdr:col>
      <xdr:colOff>76200</xdr:colOff>
      <xdr:row>75</xdr:row>
      <xdr:rowOff>0</xdr:rowOff>
    </xdr:to>
    <xdr:sp fLocksText="0">
      <xdr:nvSpPr>
        <xdr:cNvPr id="22" name="Text Box 19"/>
        <xdr:cNvSpPr txBox="1">
          <a:spLocks noChangeArrowheads="1"/>
        </xdr:cNvSpPr>
      </xdr:nvSpPr>
      <xdr:spPr>
        <a:xfrm>
          <a:off x="3343275" y="13887450"/>
          <a:ext cx="9429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74</xdr:row>
      <xdr:rowOff>19050</xdr:rowOff>
    </xdr:from>
    <xdr:to>
      <xdr:col>21</xdr:col>
      <xdr:colOff>600075</xdr:colOff>
      <xdr:row>75</xdr:row>
      <xdr:rowOff>19050</xdr:rowOff>
    </xdr:to>
    <xdr:sp fLocksText="0">
      <xdr:nvSpPr>
        <xdr:cNvPr id="23" name="Text Box 19"/>
        <xdr:cNvSpPr txBox="1">
          <a:spLocks noChangeArrowheads="1"/>
        </xdr:cNvSpPr>
      </xdr:nvSpPr>
      <xdr:spPr>
        <a:xfrm>
          <a:off x="18021300" y="13906500"/>
          <a:ext cx="14573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400050</xdr:colOff>
      <xdr:row>74</xdr:row>
      <xdr:rowOff>0</xdr:rowOff>
    </xdr:from>
    <xdr:to>
      <xdr:col>22</xdr:col>
      <xdr:colOff>76200</xdr:colOff>
      <xdr:row>75</xdr:row>
      <xdr:rowOff>0</xdr:rowOff>
    </xdr:to>
    <xdr:sp fLocksText="0">
      <xdr:nvSpPr>
        <xdr:cNvPr id="24" name="Text Box 19"/>
        <xdr:cNvSpPr txBox="1">
          <a:spLocks noChangeArrowheads="1"/>
        </xdr:cNvSpPr>
      </xdr:nvSpPr>
      <xdr:spPr>
        <a:xfrm>
          <a:off x="18097500" y="13887450"/>
          <a:ext cx="21050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400050</xdr:colOff>
      <xdr:row>74</xdr:row>
      <xdr:rowOff>0</xdr:rowOff>
    </xdr:from>
    <xdr:to>
      <xdr:col>22</xdr:col>
      <xdr:colOff>76200</xdr:colOff>
      <xdr:row>75</xdr:row>
      <xdr:rowOff>0</xdr:rowOff>
    </xdr:to>
    <xdr:sp fLocksText="0">
      <xdr:nvSpPr>
        <xdr:cNvPr id="25" name="Text Box 19"/>
        <xdr:cNvSpPr txBox="1">
          <a:spLocks noChangeArrowheads="1"/>
        </xdr:cNvSpPr>
      </xdr:nvSpPr>
      <xdr:spPr>
        <a:xfrm>
          <a:off x="18097500" y="13887450"/>
          <a:ext cx="21050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400050</xdr:colOff>
      <xdr:row>74</xdr:row>
      <xdr:rowOff>0</xdr:rowOff>
    </xdr:from>
    <xdr:to>
      <xdr:col>22</xdr:col>
      <xdr:colOff>76200</xdr:colOff>
      <xdr:row>75</xdr:row>
      <xdr:rowOff>0</xdr:rowOff>
    </xdr:to>
    <xdr:sp fLocksText="0">
      <xdr:nvSpPr>
        <xdr:cNvPr id="26" name="Text Box 19"/>
        <xdr:cNvSpPr txBox="1">
          <a:spLocks noChangeArrowheads="1"/>
        </xdr:cNvSpPr>
      </xdr:nvSpPr>
      <xdr:spPr>
        <a:xfrm>
          <a:off x="18097500" y="13887450"/>
          <a:ext cx="21050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561975</xdr:colOff>
      <xdr:row>22</xdr:row>
      <xdr:rowOff>200025</xdr:rowOff>
    </xdr:from>
    <xdr:to>
      <xdr:col>66</xdr:col>
      <xdr:colOff>219075</xdr:colOff>
      <xdr:row>36</xdr:row>
      <xdr:rowOff>123825</xdr:rowOff>
    </xdr:to>
    <xdr:pic>
      <xdr:nvPicPr>
        <xdr:cNvPr id="27" name="Picture 1"/>
        <xdr:cNvPicPr preferRelativeResize="1">
          <a:picLocks noChangeAspect="1"/>
        </xdr:cNvPicPr>
      </xdr:nvPicPr>
      <xdr:blipFill>
        <a:blip r:embed="rId1"/>
        <a:stretch>
          <a:fillRect/>
        </a:stretch>
      </xdr:blipFill>
      <xdr:spPr>
        <a:xfrm>
          <a:off x="47567850" y="4181475"/>
          <a:ext cx="13677900" cy="2752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wuthrich.WFRC1\AppData\Local\Microsoft\Windows\Temporary%20Internet%20Files\Content.IE5\UWSR75I2\Concept_Cost_Estimate_Form_Oct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in"/>
      <sheetName val="Inflation"/>
      <sheetName val="PI-Roadway-Drainage"/>
      <sheetName val="Traffic-Safety-ITS"/>
      <sheetName val="Structures"/>
      <sheetName val="Environmental"/>
      <sheetName val="Util-RW-Inc"/>
      <sheetName val="Assumptions"/>
      <sheetName val="Incentive Calculator"/>
      <sheetName val="Item List"/>
    </sheetNames>
    <sheetDataSet>
      <sheetData sheetId="1">
        <row r="2">
          <cell r="B2" t="str">
            <v>PIN:     PROJECT #      PROJECT NAME: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dot.utah.gov/main/f?p=100:pg:0:::1:T,V:3687,"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dot.utah.gov/main/f?p=100:pg:0:::1:T,V:3687,"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udot.utah.gov/main/f?p=100:pg:0:::1:T,V:3687," TargetMode="External" /><Relationship Id="rId2" Type="http://schemas.openxmlformats.org/officeDocument/2006/relationships/hyperlink" Target="http://www.udot.utah.gov/main/f?p=100:pg:0::::T,V:1624,"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udot.utah.gov/main/f?p=100:pg:0:::1:T,V:3687,"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udot.utah.gov/main/f?p=100:pg:0:::1:T,V:3687,"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U120"/>
  <sheetViews>
    <sheetView zoomScaleSheetLayoutView="100" zoomScalePageLayoutView="55" workbookViewId="0" topLeftCell="A1">
      <selection activeCell="I17" sqref="I17"/>
    </sheetView>
  </sheetViews>
  <sheetFormatPr defaultColWidth="9.140625" defaultRowHeight="12.75"/>
  <cols>
    <col min="1" max="1" width="9.140625" style="92" customWidth="1"/>
    <col min="2" max="2" width="157.7109375" style="245" customWidth="1"/>
    <col min="3" max="21" width="9.140625" style="92" customWidth="1"/>
    <col min="22" max="16384" width="9.140625" style="245" customWidth="1"/>
  </cols>
  <sheetData>
    <row r="1" spans="1:21" ht="15.75">
      <c r="A1" s="241"/>
      <c r="B1" s="242"/>
      <c r="C1" s="241"/>
      <c r="D1" s="241"/>
      <c r="E1" s="243"/>
      <c r="F1" s="243"/>
      <c r="G1" s="243"/>
      <c r="H1" s="243"/>
      <c r="I1" s="243"/>
      <c r="J1" s="243"/>
      <c r="K1" s="243"/>
      <c r="L1" s="243"/>
      <c r="M1" s="243"/>
      <c r="N1" s="243"/>
      <c r="O1" s="243"/>
      <c r="P1" s="244"/>
      <c r="Q1" s="244"/>
      <c r="R1" s="244"/>
      <c r="S1" s="244"/>
      <c r="T1" s="244"/>
      <c r="U1" s="244"/>
    </row>
    <row r="2" spans="1:21" ht="18.75">
      <c r="A2" s="241"/>
      <c r="B2" s="12" t="s">
        <v>189</v>
      </c>
      <c r="C2" s="241"/>
      <c r="D2" s="241"/>
      <c r="E2" s="243"/>
      <c r="F2" s="243"/>
      <c r="G2" s="243"/>
      <c r="H2" s="243"/>
      <c r="I2" s="243"/>
      <c r="J2" s="243"/>
      <c r="K2" s="243"/>
      <c r="L2" s="243"/>
      <c r="M2" s="243"/>
      <c r="N2" s="243"/>
      <c r="O2" s="243"/>
      <c r="P2" s="244"/>
      <c r="Q2" s="244"/>
      <c r="R2" s="244"/>
      <c r="S2" s="244"/>
      <c r="T2" s="244"/>
      <c r="U2" s="244"/>
    </row>
    <row r="3" spans="1:21" ht="20.25">
      <c r="A3" s="241"/>
      <c r="B3" s="13" t="s">
        <v>103</v>
      </c>
      <c r="C3" s="241"/>
      <c r="D3" s="241"/>
      <c r="E3" s="243"/>
      <c r="F3" s="243"/>
      <c r="G3" s="243"/>
      <c r="H3" s="243"/>
      <c r="I3" s="243"/>
      <c r="J3" s="243"/>
      <c r="K3" s="243"/>
      <c r="L3" s="243"/>
      <c r="M3" s="243"/>
      <c r="N3" s="243"/>
      <c r="O3" s="243"/>
      <c r="P3" s="244"/>
      <c r="Q3" s="244"/>
      <c r="R3" s="244"/>
      <c r="S3" s="244"/>
      <c r="T3" s="244"/>
      <c r="U3" s="244"/>
    </row>
    <row r="4" spans="1:21" ht="12.75">
      <c r="A4" s="243"/>
      <c r="B4" s="248" t="s">
        <v>2469</v>
      </c>
      <c r="C4" s="243"/>
      <c r="D4" s="243"/>
      <c r="E4" s="243"/>
      <c r="F4" s="243"/>
      <c r="G4" s="243"/>
      <c r="H4" s="243"/>
      <c r="I4" s="243"/>
      <c r="J4" s="243"/>
      <c r="K4" s="243"/>
      <c r="L4" s="243"/>
      <c r="M4" s="243"/>
      <c r="N4" s="243"/>
      <c r="O4" s="243"/>
      <c r="P4" s="244"/>
      <c r="Q4" s="244"/>
      <c r="R4" s="244"/>
      <c r="S4" s="244"/>
      <c r="T4" s="244"/>
      <c r="U4" s="244"/>
    </row>
    <row r="5" spans="1:21" ht="12.75">
      <c r="A5" s="243"/>
      <c r="B5" s="246"/>
      <c r="C5" s="243"/>
      <c r="D5" s="243"/>
      <c r="E5" s="243"/>
      <c r="F5" s="243"/>
      <c r="G5" s="243"/>
      <c r="H5" s="243"/>
      <c r="I5" s="243"/>
      <c r="J5" s="243"/>
      <c r="K5" s="243"/>
      <c r="L5" s="243"/>
      <c r="M5" s="243"/>
      <c r="N5" s="243"/>
      <c r="O5" s="243"/>
      <c r="P5" s="244"/>
      <c r="Q5" s="244"/>
      <c r="R5" s="244"/>
      <c r="S5" s="244"/>
      <c r="T5" s="244"/>
      <c r="U5" s="244"/>
    </row>
    <row r="6" spans="1:21" ht="12.75">
      <c r="A6" s="243"/>
      <c r="B6" s="247" t="s">
        <v>174</v>
      </c>
      <c r="C6" s="243"/>
      <c r="D6" s="243"/>
      <c r="E6" s="243"/>
      <c r="F6" s="243"/>
      <c r="G6" s="243"/>
      <c r="H6" s="243"/>
      <c r="I6" s="243"/>
      <c r="J6" s="243"/>
      <c r="K6" s="243"/>
      <c r="L6" s="243"/>
      <c r="M6" s="243"/>
      <c r="N6" s="243"/>
      <c r="O6" s="243"/>
      <c r="P6" s="244"/>
      <c r="Q6" s="244"/>
      <c r="R6" s="244"/>
      <c r="S6" s="244"/>
      <c r="T6" s="244"/>
      <c r="U6" s="244"/>
    </row>
    <row r="7" spans="1:21" ht="12.75">
      <c r="A7" s="243"/>
      <c r="B7" s="246" t="s">
        <v>138</v>
      </c>
      <c r="C7" s="243"/>
      <c r="D7" s="243"/>
      <c r="E7" s="243"/>
      <c r="F7" s="243"/>
      <c r="G7" s="243"/>
      <c r="H7" s="243"/>
      <c r="I7" s="243"/>
      <c r="J7" s="243"/>
      <c r="K7" s="243"/>
      <c r="L7" s="243"/>
      <c r="M7" s="243"/>
      <c r="N7" s="243"/>
      <c r="O7" s="243"/>
      <c r="P7" s="244"/>
      <c r="Q7" s="244"/>
      <c r="R7" s="244"/>
      <c r="S7" s="244"/>
      <c r="T7" s="244"/>
      <c r="U7" s="244"/>
    </row>
    <row r="8" spans="1:21" ht="12.75">
      <c r="A8" s="243"/>
      <c r="B8" s="246" t="s">
        <v>2477</v>
      </c>
      <c r="C8" s="243"/>
      <c r="D8" s="243"/>
      <c r="E8" s="243"/>
      <c r="F8" s="243"/>
      <c r="G8" s="243"/>
      <c r="H8" s="243"/>
      <c r="I8" s="243"/>
      <c r="J8" s="243"/>
      <c r="K8" s="243"/>
      <c r="L8" s="243"/>
      <c r="M8" s="243"/>
      <c r="N8" s="243"/>
      <c r="O8" s="243"/>
      <c r="P8" s="244"/>
      <c r="Q8" s="244"/>
      <c r="R8" s="244"/>
      <c r="S8" s="244"/>
      <c r="T8" s="244"/>
      <c r="U8" s="244"/>
    </row>
    <row r="9" spans="1:21" ht="12.75">
      <c r="A9" s="243"/>
      <c r="B9" s="248" t="s">
        <v>180</v>
      </c>
      <c r="C9" s="243"/>
      <c r="D9" s="243"/>
      <c r="E9" s="243"/>
      <c r="F9" s="243"/>
      <c r="G9" s="243"/>
      <c r="H9" s="243"/>
      <c r="I9" s="243"/>
      <c r="J9" s="243"/>
      <c r="K9" s="243"/>
      <c r="L9" s="243"/>
      <c r="M9" s="243"/>
      <c r="N9" s="243"/>
      <c r="O9" s="243"/>
      <c r="P9" s="244"/>
      <c r="Q9" s="244"/>
      <c r="R9" s="244"/>
      <c r="S9" s="244"/>
      <c r="T9" s="244"/>
      <c r="U9" s="244"/>
    </row>
    <row r="10" spans="1:21" ht="12.75">
      <c r="A10" s="243"/>
      <c r="B10" s="246"/>
      <c r="C10" s="243"/>
      <c r="D10" s="243"/>
      <c r="E10" s="243"/>
      <c r="F10" s="243"/>
      <c r="G10" s="243"/>
      <c r="H10" s="243"/>
      <c r="I10" s="243"/>
      <c r="J10" s="243"/>
      <c r="K10" s="243"/>
      <c r="L10" s="243"/>
      <c r="M10" s="243"/>
      <c r="N10" s="243"/>
      <c r="O10" s="243"/>
      <c r="P10" s="244"/>
      <c r="Q10" s="244"/>
      <c r="R10" s="244"/>
      <c r="S10" s="244"/>
      <c r="T10" s="244"/>
      <c r="U10" s="244"/>
    </row>
    <row r="11" spans="1:21" ht="12.75">
      <c r="A11" s="243"/>
      <c r="B11" s="247" t="s">
        <v>175</v>
      </c>
      <c r="C11" s="243"/>
      <c r="D11" s="243"/>
      <c r="E11" s="243"/>
      <c r="F11" s="243"/>
      <c r="G11" s="243"/>
      <c r="H11" s="243"/>
      <c r="I11" s="243"/>
      <c r="J11" s="243"/>
      <c r="K11" s="243"/>
      <c r="L11" s="243"/>
      <c r="M11" s="243"/>
      <c r="N11" s="243"/>
      <c r="O11" s="243"/>
      <c r="P11" s="244"/>
      <c r="Q11" s="244"/>
      <c r="R11" s="244"/>
      <c r="S11" s="244"/>
      <c r="T11" s="244"/>
      <c r="U11" s="244"/>
    </row>
    <row r="12" spans="1:21" ht="12.75">
      <c r="A12" s="243"/>
      <c r="B12" s="248" t="s">
        <v>2475</v>
      </c>
      <c r="C12" s="243"/>
      <c r="D12" s="243"/>
      <c r="E12" s="243"/>
      <c r="F12" s="243"/>
      <c r="G12" s="243"/>
      <c r="H12" s="243"/>
      <c r="I12" s="243"/>
      <c r="J12" s="243"/>
      <c r="K12" s="243"/>
      <c r="L12" s="243"/>
      <c r="M12" s="243"/>
      <c r="N12" s="243"/>
      <c r="O12" s="243"/>
      <c r="P12" s="244"/>
      <c r="Q12" s="244"/>
      <c r="R12" s="244"/>
      <c r="S12" s="244"/>
      <c r="T12" s="244"/>
      <c r="U12" s="244"/>
    </row>
    <row r="13" spans="1:21" ht="12.75">
      <c r="A13" s="243"/>
      <c r="B13" s="248" t="s">
        <v>2476</v>
      </c>
      <c r="C13" s="243"/>
      <c r="D13" s="243"/>
      <c r="E13" s="243"/>
      <c r="F13" s="243"/>
      <c r="G13" s="243"/>
      <c r="H13" s="243"/>
      <c r="I13" s="243"/>
      <c r="J13" s="243"/>
      <c r="K13" s="243"/>
      <c r="L13" s="243"/>
      <c r="M13" s="243"/>
      <c r="N13" s="243"/>
      <c r="O13" s="243"/>
      <c r="P13" s="244"/>
      <c r="Q13" s="244"/>
      <c r="R13" s="244"/>
      <c r="S13" s="244"/>
      <c r="T13" s="244"/>
      <c r="U13" s="244"/>
    </row>
    <row r="14" spans="1:21" ht="12.75">
      <c r="A14" s="243"/>
      <c r="B14" s="248"/>
      <c r="C14" s="243"/>
      <c r="D14" s="243"/>
      <c r="E14" s="243"/>
      <c r="F14" s="243"/>
      <c r="G14" s="243"/>
      <c r="H14" s="243"/>
      <c r="I14" s="243"/>
      <c r="J14" s="243"/>
      <c r="K14" s="243"/>
      <c r="L14" s="243"/>
      <c r="M14" s="243"/>
      <c r="N14" s="243"/>
      <c r="O14" s="243"/>
      <c r="P14" s="244"/>
      <c r="Q14" s="244"/>
      <c r="R14" s="244"/>
      <c r="S14" s="244"/>
      <c r="T14" s="244"/>
      <c r="U14" s="244"/>
    </row>
    <row r="15" spans="1:21" ht="12.75">
      <c r="A15" s="243"/>
      <c r="B15" s="249" t="s">
        <v>188</v>
      </c>
      <c r="C15" s="243"/>
      <c r="D15" s="243"/>
      <c r="E15" s="243"/>
      <c r="F15" s="243"/>
      <c r="G15" s="243"/>
      <c r="H15" s="243"/>
      <c r="I15" s="243"/>
      <c r="J15" s="243"/>
      <c r="K15" s="243"/>
      <c r="L15" s="243"/>
      <c r="M15" s="243"/>
      <c r="N15" s="243"/>
      <c r="O15" s="243"/>
      <c r="P15" s="244"/>
      <c r="Q15" s="244"/>
      <c r="R15" s="244"/>
      <c r="S15" s="244"/>
      <c r="T15" s="244"/>
      <c r="U15" s="244"/>
    </row>
    <row r="16" spans="1:21" ht="12.75" customHeight="1">
      <c r="A16" s="243"/>
      <c r="B16" s="248" t="s">
        <v>2478</v>
      </c>
      <c r="C16" s="243"/>
      <c r="D16" s="243"/>
      <c r="E16" s="243"/>
      <c r="F16" s="243"/>
      <c r="G16" s="243"/>
      <c r="H16" s="243"/>
      <c r="I16" s="243"/>
      <c r="J16" s="243"/>
      <c r="K16" s="243"/>
      <c r="L16" s="243"/>
      <c r="M16" s="243"/>
      <c r="N16" s="243"/>
      <c r="O16" s="243"/>
      <c r="P16" s="244"/>
      <c r="Q16" s="244"/>
      <c r="R16" s="244"/>
      <c r="S16" s="244"/>
      <c r="T16" s="244"/>
      <c r="U16" s="244"/>
    </row>
    <row r="17" spans="1:21" ht="12.75">
      <c r="A17" s="243"/>
      <c r="B17" s="246" t="s">
        <v>186</v>
      </c>
      <c r="C17" s="243"/>
      <c r="D17" s="243"/>
      <c r="E17" s="243"/>
      <c r="F17" s="243"/>
      <c r="G17" s="243"/>
      <c r="H17" s="243"/>
      <c r="I17" s="243"/>
      <c r="J17" s="243"/>
      <c r="K17" s="243"/>
      <c r="L17" s="243"/>
      <c r="M17" s="243"/>
      <c r="N17" s="243"/>
      <c r="O17" s="243"/>
      <c r="P17" s="244"/>
      <c r="Q17" s="244"/>
      <c r="R17" s="244"/>
      <c r="S17" s="244"/>
      <c r="T17" s="244"/>
      <c r="U17" s="244"/>
    </row>
    <row r="18" spans="1:21" ht="12.75">
      <c r="A18" s="243"/>
      <c r="B18" s="246" t="s">
        <v>182</v>
      </c>
      <c r="C18" s="243"/>
      <c r="D18" s="243"/>
      <c r="E18" s="243"/>
      <c r="F18" s="243"/>
      <c r="G18" s="243"/>
      <c r="H18" s="243"/>
      <c r="I18" s="243"/>
      <c r="J18" s="243"/>
      <c r="K18" s="243"/>
      <c r="L18" s="243"/>
      <c r="M18" s="243"/>
      <c r="N18" s="243"/>
      <c r="O18" s="243"/>
      <c r="P18" s="244"/>
      <c r="Q18" s="244"/>
      <c r="R18" s="244"/>
      <c r="S18" s="244"/>
      <c r="T18" s="244"/>
      <c r="U18" s="244"/>
    </row>
    <row r="19" spans="1:21" ht="12.75">
      <c r="A19" s="243"/>
      <c r="B19" s="248"/>
      <c r="C19" s="243"/>
      <c r="D19" s="243"/>
      <c r="E19" s="243"/>
      <c r="F19" s="243"/>
      <c r="G19" s="243"/>
      <c r="H19" s="243"/>
      <c r="I19" s="243"/>
      <c r="J19" s="243"/>
      <c r="K19" s="243"/>
      <c r="L19" s="243"/>
      <c r="M19" s="243"/>
      <c r="N19" s="243"/>
      <c r="O19" s="243"/>
      <c r="P19" s="244"/>
      <c r="Q19" s="244"/>
      <c r="R19" s="244"/>
      <c r="S19" s="244"/>
      <c r="T19" s="244"/>
      <c r="U19" s="244"/>
    </row>
    <row r="20" spans="1:21" ht="12.75">
      <c r="A20" s="243"/>
      <c r="B20" s="247" t="s">
        <v>137</v>
      </c>
      <c r="C20" s="243"/>
      <c r="D20" s="243"/>
      <c r="E20" s="243"/>
      <c r="F20" s="243"/>
      <c r="G20" s="243"/>
      <c r="H20" s="243"/>
      <c r="I20" s="243"/>
      <c r="J20" s="243"/>
      <c r="K20" s="243"/>
      <c r="L20" s="243"/>
      <c r="M20" s="243"/>
      <c r="N20" s="243"/>
      <c r="O20" s="243"/>
      <c r="P20" s="244"/>
      <c r="Q20" s="244"/>
      <c r="R20" s="244"/>
      <c r="S20" s="244"/>
      <c r="T20" s="244"/>
      <c r="U20" s="244"/>
    </row>
    <row r="21" spans="1:21" ht="12.75" customHeight="1">
      <c r="A21" s="243"/>
      <c r="B21" s="409" t="s">
        <v>2463</v>
      </c>
      <c r="C21" s="243"/>
      <c r="D21" s="243"/>
      <c r="E21" s="243"/>
      <c r="F21" s="243"/>
      <c r="G21" s="243"/>
      <c r="H21" s="243"/>
      <c r="I21" s="243"/>
      <c r="J21" s="243"/>
      <c r="K21" s="243"/>
      <c r="L21" s="243"/>
      <c r="M21" s="243"/>
      <c r="N21" s="243"/>
      <c r="O21" s="243"/>
      <c r="P21" s="244"/>
      <c r="Q21" s="244"/>
      <c r="R21" s="244"/>
      <c r="S21" s="244"/>
      <c r="T21" s="244"/>
      <c r="U21" s="244"/>
    </row>
    <row r="22" spans="1:21" ht="12.75">
      <c r="A22" s="243"/>
      <c r="B22" s="246" t="s">
        <v>104</v>
      </c>
      <c r="C22" s="243"/>
      <c r="D22" s="243"/>
      <c r="E22" s="243"/>
      <c r="F22" s="243"/>
      <c r="G22" s="243"/>
      <c r="H22" s="243"/>
      <c r="I22" s="243"/>
      <c r="J22" s="243"/>
      <c r="K22" s="243"/>
      <c r="L22" s="243"/>
      <c r="M22" s="243"/>
      <c r="N22" s="243"/>
      <c r="O22" s="243"/>
      <c r="P22" s="244"/>
      <c r="Q22" s="244"/>
      <c r="R22" s="244"/>
      <c r="S22" s="244"/>
      <c r="T22" s="244"/>
      <c r="U22" s="244"/>
    </row>
    <row r="23" spans="1:21" ht="12.75">
      <c r="A23" s="243"/>
      <c r="B23" s="246"/>
      <c r="C23" s="243"/>
      <c r="D23" s="243"/>
      <c r="E23" s="243"/>
      <c r="F23" s="243"/>
      <c r="G23" s="243"/>
      <c r="H23" s="243"/>
      <c r="I23" s="243"/>
      <c r="J23" s="243"/>
      <c r="K23" s="243"/>
      <c r="L23" s="243"/>
      <c r="M23" s="243"/>
      <c r="N23" s="243"/>
      <c r="O23" s="243"/>
      <c r="P23" s="244"/>
      <c r="Q23" s="244"/>
      <c r="R23" s="244"/>
      <c r="S23" s="244"/>
      <c r="T23" s="244"/>
      <c r="U23" s="244"/>
    </row>
    <row r="24" spans="1:21" ht="12.75">
      <c r="A24" s="243"/>
      <c r="B24" s="246" t="s">
        <v>2453</v>
      </c>
      <c r="C24" s="243"/>
      <c r="D24" s="243"/>
      <c r="E24" s="243"/>
      <c r="F24" s="243"/>
      <c r="G24" s="243"/>
      <c r="H24" s="243"/>
      <c r="I24" s="243"/>
      <c r="J24" s="243"/>
      <c r="K24" s="243"/>
      <c r="L24" s="243"/>
      <c r="M24" s="243"/>
      <c r="N24" s="243"/>
      <c r="O24" s="243"/>
      <c r="P24" s="244"/>
      <c r="Q24" s="244"/>
      <c r="R24" s="244"/>
      <c r="S24" s="244"/>
      <c r="T24" s="244"/>
      <c r="U24" s="244"/>
    </row>
    <row r="25" spans="1:21" ht="12.75">
      <c r="A25" s="243"/>
      <c r="B25" s="246" t="s">
        <v>105</v>
      </c>
      <c r="C25" s="243"/>
      <c r="D25" s="243"/>
      <c r="E25" s="243"/>
      <c r="F25" s="243"/>
      <c r="G25" s="243"/>
      <c r="H25" s="243"/>
      <c r="I25" s="243"/>
      <c r="J25" s="243"/>
      <c r="K25" s="243"/>
      <c r="L25" s="243"/>
      <c r="M25" s="243"/>
      <c r="N25" s="243"/>
      <c r="O25" s="243"/>
      <c r="P25" s="244"/>
      <c r="Q25" s="244"/>
      <c r="R25" s="244"/>
      <c r="S25" s="244"/>
      <c r="T25" s="244"/>
      <c r="U25" s="244"/>
    </row>
    <row r="26" spans="1:21" ht="12.75">
      <c r="A26" s="243"/>
      <c r="B26" s="246" t="s">
        <v>2479</v>
      </c>
      <c r="C26" s="243"/>
      <c r="D26" s="243"/>
      <c r="E26" s="243"/>
      <c r="F26" s="243"/>
      <c r="G26" s="243"/>
      <c r="H26" s="243"/>
      <c r="I26" s="243"/>
      <c r="J26" s="243"/>
      <c r="K26" s="243"/>
      <c r="L26" s="243"/>
      <c r="M26" s="243"/>
      <c r="N26" s="243"/>
      <c r="O26" s="243"/>
      <c r="P26" s="244"/>
      <c r="Q26" s="244"/>
      <c r="R26" s="244"/>
      <c r="S26" s="244"/>
      <c r="T26" s="244"/>
      <c r="U26" s="244"/>
    </row>
    <row r="27" spans="1:21" ht="12.75" customHeight="1">
      <c r="A27" s="243"/>
      <c r="B27" s="248" t="s">
        <v>2452</v>
      </c>
      <c r="C27" s="243"/>
      <c r="D27" s="243"/>
      <c r="E27" s="243"/>
      <c r="F27" s="243"/>
      <c r="G27" s="243"/>
      <c r="H27" s="243"/>
      <c r="I27" s="243"/>
      <c r="J27" s="243"/>
      <c r="K27" s="243"/>
      <c r="L27" s="243"/>
      <c r="M27" s="243"/>
      <c r="N27" s="243"/>
      <c r="O27" s="243"/>
      <c r="P27" s="244"/>
      <c r="Q27" s="244"/>
      <c r="R27" s="244"/>
      <c r="S27" s="244"/>
      <c r="T27" s="244"/>
      <c r="U27" s="244"/>
    </row>
    <row r="28" spans="1:21" ht="12.75">
      <c r="A28" s="243"/>
      <c r="B28" s="248" t="s">
        <v>365</v>
      </c>
      <c r="C28" s="243"/>
      <c r="D28" s="243"/>
      <c r="E28" s="243"/>
      <c r="F28" s="243"/>
      <c r="G28" s="243"/>
      <c r="H28" s="243"/>
      <c r="I28" s="243"/>
      <c r="J28" s="243"/>
      <c r="K28" s="243"/>
      <c r="L28" s="243"/>
      <c r="M28" s="243"/>
      <c r="N28" s="243"/>
      <c r="O28" s="243"/>
      <c r="P28" s="244"/>
      <c r="Q28" s="244"/>
      <c r="R28" s="244"/>
      <c r="S28" s="244"/>
      <c r="T28" s="244"/>
      <c r="U28" s="244"/>
    </row>
    <row r="29" spans="1:21" ht="12.75">
      <c r="A29" s="243"/>
      <c r="B29" s="246"/>
      <c r="C29" s="243"/>
      <c r="D29" s="243"/>
      <c r="E29" s="243"/>
      <c r="F29" s="243"/>
      <c r="G29" s="243"/>
      <c r="H29" s="243"/>
      <c r="I29" s="243"/>
      <c r="J29" s="243"/>
      <c r="K29" s="243"/>
      <c r="L29" s="243"/>
      <c r="M29" s="243"/>
      <c r="N29" s="243"/>
      <c r="O29" s="243"/>
      <c r="P29" s="244"/>
      <c r="Q29" s="244"/>
      <c r="R29" s="244"/>
      <c r="S29" s="244"/>
      <c r="T29" s="244"/>
      <c r="U29" s="244"/>
    </row>
    <row r="30" spans="1:21" ht="12.75">
      <c r="A30" s="243"/>
      <c r="B30" s="249" t="s">
        <v>2471</v>
      </c>
      <c r="C30" s="243"/>
      <c r="D30" s="243"/>
      <c r="E30" s="243"/>
      <c r="F30" s="243"/>
      <c r="G30" s="243"/>
      <c r="H30" s="243"/>
      <c r="I30" s="243"/>
      <c r="J30" s="243"/>
      <c r="K30" s="243"/>
      <c r="L30" s="243"/>
      <c r="M30" s="243"/>
      <c r="N30" s="243"/>
      <c r="O30" s="243"/>
      <c r="P30" s="244"/>
      <c r="Q30" s="244"/>
      <c r="R30" s="244"/>
      <c r="S30" s="244"/>
      <c r="T30" s="244"/>
      <c r="U30" s="244"/>
    </row>
    <row r="31" spans="1:21" ht="12.75">
      <c r="A31" s="243"/>
      <c r="B31" s="248" t="s">
        <v>2472</v>
      </c>
      <c r="C31" s="243"/>
      <c r="D31" s="243"/>
      <c r="E31" s="243"/>
      <c r="F31" s="243"/>
      <c r="G31" s="243"/>
      <c r="H31" s="243"/>
      <c r="I31" s="243"/>
      <c r="J31" s="243"/>
      <c r="K31" s="243"/>
      <c r="L31" s="243"/>
      <c r="M31" s="243"/>
      <c r="N31" s="243"/>
      <c r="O31" s="243"/>
      <c r="P31" s="244"/>
      <c r="Q31" s="244"/>
      <c r="R31" s="244"/>
      <c r="S31" s="244"/>
      <c r="T31" s="244"/>
      <c r="U31" s="244"/>
    </row>
    <row r="32" spans="1:21" ht="12.75">
      <c r="A32" s="243"/>
      <c r="B32" s="248" t="s">
        <v>2473</v>
      </c>
      <c r="C32" s="243"/>
      <c r="D32" s="243"/>
      <c r="E32" s="243"/>
      <c r="F32" s="243"/>
      <c r="G32" s="243"/>
      <c r="H32" s="243"/>
      <c r="I32" s="243"/>
      <c r="J32" s="243"/>
      <c r="K32" s="243"/>
      <c r="L32" s="243"/>
      <c r="M32" s="243"/>
      <c r="N32" s="243"/>
      <c r="O32" s="243"/>
      <c r="P32" s="244"/>
      <c r="Q32" s="244"/>
      <c r="R32" s="244"/>
      <c r="S32" s="244"/>
      <c r="T32" s="244"/>
      <c r="U32" s="244"/>
    </row>
    <row r="33" spans="1:21" ht="12.75">
      <c r="A33" s="243"/>
      <c r="B33" s="250"/>
      <c r="C33" s="243"/>
      <c r="D33" s="243"/>
      <c r="E33" s="243"/>
      <c r="F33" s="243"/>
      <c r="G33" s="243"/>
      <c r="H33" s="243"/>
      <c r="I33" s="243"/>
      <c r="J33" s="243"/>
      <c r="K33" s="243"/>
      <c r="L33" s="243"/>
      <c r="M33" s="243"/>
      <c r="N33" s="243"/>
      <c r="O33" s="243"/>
      <c r="P33" s="244"/>
      <c r="Q33" s="244"/>
      <c r="R33" s="244"/>
      <c r="S33" s="244"/>
      <c r="T33" s="244"/>
      <c r="U33" s="244"/>
    </row>
    <row r="34" spans="1:21" ht="12.75">
      <c r="A34" s="243"/>
      <c r="B34" s="249" t="s">
        <v>2466</v>
      </c>
      <c r="C34" s="243"/>
      <c r="D34" s="243"/>
      <c r="E34" s="243"/>
      <c r="F34" s="243"/>
      <c r="G34" s="243"/>
      <c r="H34" s="243"/>
      <c r="I34" s="243"/>
      <c r="J34" s="243"/>
      <c r="K34" s="243"/>
      <c r="L34" s="243"/>
      <c r="M34" s="243"/>
      <c r="N34" s="243"/>
      <c r="O34" s="243"/>
      <c r="P34" s="244"/>
      <c r="Q34" s="244"/>
      <c r="R34" s="244"/>
      <c r="S34" s="244"/>
      <c r="T34" s="244"/>
      <c r="U34" s="244"/>
    </row>
    <row r="35" spans="1:21" ht="12.75">
      <c r="A35" s="243"/>
      <c r="B35" s="248" t="s">
        <v>2467</v>
      </c>
      <c r="C35" s="243"/>
      <c r="D35" s="243"/>
      <c r="E35" s="243"/>
      <c r="F35" s="243"/>
      <c r="G35" s="243"/>
      <c r="H35" s="243"/>
      <c r="I35" s="243"/>
      <c r="J35" s="243"/>
      <c r="K35" s="243"/>
      <c r="L35" s="243"/>
      <c r="M35" s="243"/>
      <c r="N35" s="243"/>
      <c r="O35" s="243"/>
      <c r="P35" s="244"/>
      <c r="Q35" s="244"/>
      <c r="R35" s="244"/>
      <c r="S35" s="244"/>
      <c r="T35" s="244"/>
      <c r="U35" s="244"/>
    </row>
    <row r="36" spans="1:21" ht="12.75">
      <c r="A36" s="243"/>
      <c r="B36" s="248" t="s">
        <v>2470</v>
      </c>
      <c r="C36" s="243"/>
      <c r="D36" s="243"/>
      <c r="E36" s="243"/>
      <c r="F36" s="243"/>
      <c r="G36" s="243"/>
      <c r="H36" s="243"/>
      <c r="I36" s="243"/>
      <c r="J36" s="243"/>
      <c r="K36" s="243"/>
      <c r="L36" s="243"/>
      <c r="M36" s="243"/>
      <c r="N36" s="243"/>
      <c r="O36" s="243"/>
      <c r="P36" s="244"/>
      <c r="Q36" s="244"/>
      <c r="R36" s="244"/>
      <c r="S36" s="244"/>
      <c r="T36" s="244"/>
      <c r="U36" s="244"/>
    </row>
    <row r="37" spans="1:21" ht="12.75">
      <c r="A37" s="243"/>
      <c r="B37" s="250"/>
      <c r="C37" s="243"/>
      <c r="D37" s="243"/>
      <c r="E37" s="243"/>
      <c r="F37" s="243"/>
      <c r="G37" s="243"/>
      <c r="H37" s="243"/>
      <c r="I37" s="243"/>
      <c r="J37" s="243"/>
      <c r="K37" s="243"/>
      <c r="L37" s="243"/>
      <c r="M37" s="243"/>
      <c r="N37" s="243"/>
      <c r="O37" s="243"/>
      <c r="P37" s="244"/>
      <c r="Q37" s="244"/>
      <c r="R37" s="244"/>
      <c r="S37" s="244"/>
      <c r="T37" s="244"/>
      <c r="U37" s="244"/>
    </row>
    <row r="38" spans="1:21" ht="15">
      <c r="A38" s="14"/>
      <c r="B38" s="639" t="s">
        <v>181</v>
      </c>
      <c r="C38" s="14"/>
      <c r="D38" s="14"/>
      <c r="E38" s="14"/>
      <c r="F38" s="14"/>
      <c r="G38" s="14"/>
      <c r="H38" s="14"/>
      <c r="I38" s="14"/>
      <c r="J38" s="14"/>
      <c r="K38" s="14"/>
      <c r="L38" s="14"/>
      <c r="M38" s="14"/>
      <c r="N38" s="14"/>
      <c r="O38" s="14"/>
      <c r="P38" s="15"/>
      <c r="Q38" s="15"/>
      <c r="R38" s="15"/>
      <c r="S38" s="15"/>
      <c r="T38" s="15"/>
      <c r="U38" s="15"/>
    </row>
    <row r="39" spans="1:21" ht="15" customHeight="1">
      <c r="A39" s="243"/>
      <c r="B39" s="639"/>
      <c r="C39" s="243"/>
      <c r="D39" s="243"/>
      <c r="E39" s="243"/>
      <c r="F39" s="243"/>
      <c r="G39" s="243"/>
      <c r="H39" s="243"/>
      <c r="I39" s="243"/>
      <c r="J39" s="243"/>
      <c r="K39" s="243"/>
      <c r="L39" s="243"/>
      <c r="M39" s="243"/>
      <c r="N39" s="243"/>
      <c r="O39" s="243"/>
      <c r="P39" s="244"/>
      <c r="Q39" s="244"/>
      <c r="R39" s="244"/>
      <c r="S39" s="244"/>
      <c r="T39" s="244"/>
      <c r="U39" s="244"/>
    </row>
    <row r="40" spans="1:21" ht="15" customHeight="1">
      <c r="A40" s="243"/>
      <c r="B40" s="639"/>
      <c r="C40" s="243"/>
      <c r="D40" s="243"/>
      <c r="E40" s="243"/>
      <c r="F40" s="243"/>
      <c r="G40" s="243"/>
      <c r="H40" s="243"/>
      <c r="I40" s="243"/>
      <c r="J40" s="243"/>
      <c r="K40" s="243"/>
      <c r="L40" s="243"/>
      <c r="M40" s="243"/>
      <c r="N40" s="243"/>
      <c r="O40" s="243"/>
      <c r="P40" s="244"/>
      <c r="Q40" s="244"/>
      <c r="R40" s="244"/>
      <c r="S40" s="244"/>
      <c r="T40" s="244"/>
      <c r="U40" s="244"/>
    </row>
    <row r="41" spans="1:21" ht="12.75">
      <c r="A41" s="243"/>
      <c r="C41" s="243"/>
      <c r="D41" s="243"/>
      <c r="E41" s="243"/>
      <c r="F41" s="243"/>
      <c r="G41" s="243"/>
      <c r="H41" s="243"/>
      <c r="I41" s="243"/>
      <c r="J41" s="243"/>
      <c r="K41" s="243"/>
      <c r="L41" s="243"/>
      <c r="M41" s="243"/>
      <c r="N41" s="243"/>
      <c r="O41" s="243"/>
      <c r="P41" s="244"/>
      <c r="Q41" s="244"/>
      <c r="R41" s="244"/>
      <c r="S41" s="244"/>
      <c r="T41" s="244"/>
      <c r="U41" s="244"/>
    </row>
    <row r="42" spans="1:21" ht="12.75">
      <c r="A42" s="243"/>
      <c r="C42" s="243"/>
      <c r="D42" s="243"/>
      <c r="E42" s="243"/>
      <c r="F42" s="243"/>
      <c r="G42" s="243"/>
      <c r="H42" s="243"/>
      <c r="I42" s="243"/>
      <c r="J42" s="243"/>
      <c r="K42" s="243"/>
      <c r="L42" s="243"/>
      <c r="M42" s="243"/>
      <c r="N42" s="243"/>
      <c r="O42" s="243"/>
      <c r="P42" s="244"/>
      <c r="Q42" s="244"/>
      <c r="R42" s="244"/>
      <c r="S42" s="244"/>
      <c r="T42" s="244"/>
      <c r="U42" s="244"/>
    </row>
    <row r="43" spans="1:21" ht="12.75">
      <c r="A43" s="243"/>
      <c r="B43" s="242"/>
      <c r="C43" s="243"/>
      <c r="D43" s="243"/>
      <c r="E43" s="243"/>
      <c r="F43" s="243"/>
      <c r="G43" s="243"/>
      <c r="H43" s="243"/>
      <c r="I43" s="243"/>
      <c r="J43" s="243"/>
      <c r="K43" s="243"/>
      <c r="L43" s="243"/>
      <c r="M43" s="243"/>
      <c r="N43" s="243"/>
      <c r="O43" s="243"/>
      <c r="P43" s="244"/>
      <c r="Q43" s="244"/>
      <c r="R43" s="244"/>
      <c r="S43" s="244"/>
      <c r="T43" s="244"/>
      <c r="U43" s="244"/>
    </row>
    <row r="44" spans="1:21" ht="12.75">
      <c r="A44" s="243"/>
      <c r="B44" s="242"/>
      <c r="C44" s="243"/>
      <c r="D44" s="243"/>
      <c r="E44" s="243"/>
      <c r="F44" s="243"/>
      <c r="G44" s="243"/>
      <c r="H44" s="243"/>
      <c r="I44" s="243"/>
      <c r="J44" s="243"/>
      <c r="K44" s="243"/>
      <c r="L44" s="243"/>
      <c r="M44" s="243"/>
      <c r="N44" s="243"/>
      <c r="O44" s="243"/>
      <c r="P44" s="244"/>
      <c r="Q44" s="244"/>
      <c r="R44" s="244"/>
      <c r="S44" s="244"/>
      <c r="T44" s="244"/>
      <c r="U44" s="244"/>
    </row>
    <row r="45" spans="1:21" ht="12.75">
      <c r="A45" s="243"/>
      <c r="B45" s="242"/>
      <c r="C45" s="243"/>
      <c r="D45" s="243"/>
      <c r="E45" s="243"/>
      <c r="F45" s="243"/>
      <c r="G45" s="243"/>
      <c r="H45" s="243"/>
      <c r="I45" s="243"/>
      <c r="J45" s="243"/>
      <c r="K45" s="243"/>
      <c r="L45" s="243"/>
      <c r="M45" s="243"/>
      <c r="N45" s="243"/>
      <c r="O45" s="243"/>
      <c r="P45" s="244"/>
      <c r="Q45" s="244"/>
      <c r="R45" s="244"/>
      <c r="S45" s="244"/>
      <c r="T45" s="244"/>
      <c r="U45" s="244"/>
    </row>
    <row r="46" spans="1:21" ht="12.75">
      <c r="A46" s="243"/>
      <c r="B46" s="242"/>
      <c r="C46" s="243"/>
      <c r="D46" s="243"/>
      <c r="E46" s="243"/>
      <c r="F46" s="243"/>
      <c r="G46" s="243"/>
      <c r="H46" s="243"/>
      <c r="I46" s="243"/>
      <c r="J46" s="243"/>
      <c r="K46" s="243"/>
      <c r="L46" s="243"/>
      <c r="M46" s="243"/>
      <c r="N46" s="243"/>
      <c r="O46" s="243"/>
      <c r="P46" s="244"/>
      <c r="Q46" s="244"/>
      <c r="R46" s="244"/>
      <c r="S46" s="244"/>
      <c r="T46" s="244"/>
      <c r="U46" s="244"/>
    </row>
    <row r="47" spans="1:21" ht="12.75">
      <c r="A47" s="243"/>
      <c r="B47" s="242"/>
      <c r="C47" s="243"/>
      <c r="D47" s="243"/>
      <c r="E47" s="243"/>
      <c r="F47" s="243"/>
      <c r="G47" s="243"/>
      <c r="H47" s="243"/>
      <c r="I47" s="243"/>
      <c r="J47" s="243"/>
      <c r="K47" s="243"/>
      <c r="L47" s="243"/>
      <c r="M47" s="243"/>
      <c r="N47" s="243"/>
      <c r="O47" s="243"/>
      <c r="P47" s="244"/>
      <c r="Q47" s="244"/>
      <c r="R47" s="244"/>
      <c r="S47" s="244"/>
      <c r="T47" s="244"/>
      <c r="U47" s="244"/>
    </row>
    <row r="48" spans="1:21" ht="12.75">
      <c r="A48" s="243"/>
      <c r="B48" s="242"/>
      <c r="C48" s="243"/>
      <c r="D48" s="243"/>
      <c r="E48" s="243"/>
      <c r="F48" s="243"/>
      <c r="G48" s="243"/>
      <c r="H48" s="243"/>
      <c r="I48" s="243"/>
      <c r="J48" s="243"/>
      <c r="K48" s="243"/>
      <c r="L48" s="243"/>
      <c r="M48" s="243"/>
      <c r="N48" s="243"/>
      <c r="O48" s="243"/>
      <c r="P48" s="244"/>
      <c r="Q48" s="244"/>
      <c r="R48" s="244"/>
      <c r="S48" s="244"/>
      <c r="T48" s="244"/>
      <c r="U48" s="244"/>
    </row>
    <row r="49" spans="1:21" ht="12.75">
      <c r="A49" s="243"/>
      <c r="B49" s="242"/>
      <c r="C49" s="243"/>
      <c r="D49" s="243"/>
      <c r="E49" s="243"/>
      <c r="F49" s="243"/>
      <c r="G49" s="243"/>
      <c r="H49" s="243"/>
      <c r="I49" s="243"/>
      <c r="J49" s="243"/>
      <c r="K49" s="243"/>
      <c r="L49" s="243"/>
      <c r="M49" s="243"/>
      <c r="N49" s="243"/>
      <c r="O49" s="243"/>
      <c r="P49" s="244"/>
      <c r="Q49" s="244"/>
      <c r="R49" s="244"/>
      <c r="S49" s="244"/>
      <c r="T49" s="244"/>
      <c r="U49" s="244"/>
    </row>
    <row r="50" spans="1:21" ht="12.75">
      <c r="A50" s="243"/>
      <c r="B50" s="242"/>
      <c r="C50" s="243"/>
      <c r="D50" s="243"/>
      <c r="E50" s="243"/>
      <c r="F50" s="243"/>
      <c r="G50" s="243"/>
      <c r="H50" s="243"/>
      <c r="I50" s="243"/>
      <c r="J50" s="243"/>
      <c r="K50" s="243"/>
      <c r="L50" s="243"/>
      <c r="M50" s="243"/>
      <c r="N50" s="243"/>
      <c r="O50" s="243"/>
      <c r="P50" s="244"/>
      <c r="Q50" s="244"/>
      <c r="R50" s="244"/>
      <c r="S50" s="244"/>
      <c r="T50" s="244"/>
      <c r="U50" s="244"/>
    </row>
    <row r="51" spans="1:21" ht="12.75">
      <c r="A51" s="243"/>
      <c r="B51" s="242"/>
      <c r="C51" s="243"/>
      <c r="D51" s="243"/>
      <c r="E51" s="243"/>
      <c r="F51" s="243"/>
      <c r="G51" s="243"/>
      <c r="H51" s="243"/>
      <c r="I51" s="243"/>
      <c r="J51" s="243"/>
      <c r="K51" s="243"/>
      <c r="L51" s="243"/>
      <c r="M51" s="243"/>
      <c r="N51" s="243"/>
      <c r="O51" s="243"/>
      <c r="P51" s="244"/>
      <c r="Q51" s="244"/>
      <c r="R51" s="244"/>
      <c r="S51" s="244"/>
      <c r="T51" s="244"/>
      <c r="U51" s="244"/>
    </row>
    <row r="52" spans="1:21" ht="12.75">
      <c r="A52" s="243"/>
      <c r="B52" s="242"/>
      <c r="C52" s="243"/>
      <c r="D52" s="243"/>
      <c r="E52" s="243"/>
      <c r="F52" s="243"/>
      <c r="G52" s="243"/>
      <c r="H52" s="243"/>
      <c r="I52" s="243"/>
      <c r="J52" s="243"/>
      <c r="K52" s="243"/>
      <c r="L52" s="243"/>
      <c r="M52" s="243"/>
      <c r="N52" s="243"/>
      <c r="O52" s="243"/>
      <c r="P52" s="244"/>
      <c r="Q52" s="244"/>
      <c r="R52" s="244"/>
      <c r="S52" s="244"/>
      <c r="T52" s="244"/>
      <c r="U52" s="244"/>
    </row>
    <row r="53" spans="1:21" ht="12.75">
      <c r="A53" s="243"/>
      <c r="B53" s="242"/>
      <c r="C53" s="243"/>
      <c r="D53" s="243"/>
      <c r="E53" s="243"/>
      <c r="F53" s="243"/>
      <c r="G53" s="243"/>
      <c r="H53" s="243"/>
      <c r="I53" s="243"/>
      <c r="J53" s="243"/>
      <c r="K53" s="243"/>
      <c r="L53" s="243"/>
      <c r="M53" s="243"/>
      <c r="N53" s="243"/>
      <c r="O53" s="243"/>
      <c r="P53" s="244"/>
      <c r="Q53" s="244"/>
      <c r="R53" s="244"/>
      <c r="S53" s="244"/>
      <c r="T53" s="244"/>
      <c r="U53" s="244"/>
    </row>
    <row r="54" spans="1:21" ht="12.75">
      <c r="A54" s="243"/>
      <c r="B54" s="242"/>
      <c r="C54" s="243"/>
      <c r="D54" s="243"/>
      <c r="E54" s="243"/>
      <c r="F54" s="243"/>
      <c r="G54" s="243"/>
      <c r="H54" s="243"/>
      <c r="I54" s="243"/>
      <c r="J54" s="243"/>
      <c r="K54" s="243"/>
      <c r="L54" s="243"/>
      <c r="M54" s="243"/>
      <c r="N54" s="243"/>
      <c r="O54" s="243"/>
      <c r="P54" s="244"/>
      <c r="Q54" s="244"/>
      <c r="R54" s="244"/>
      <c r="S54" s="244"/>
      <c r="T54" s="244"/>
      <c r="U54" s="244"/>
    </row>
    <row r="55" spans="1:21" ht="12.75">
      <c r="A55" s="243"/>
      <c r="B55" s="242"/>
      <c r="C55" s="243"/>
      <c r="D55" s="243"/>
      <c r="E55" s="243"/>
      <c r="F55" s="243"/>
      <c r="G55" s="243"/>
      <c r="H55" s="243"/>
      <c r="I55" s="243"/>
      <c r="J55" s="243"/>
      <c r="K55" s="243"/>
      <c r="L55" s="243"/>
      <c r="M55" s="243"/>
      <c r="N55" s="243"/>
      <c r="O55" s="243"/>
      <c r="P55" s="244"/>
      <c r="Q55" s="244"/>
      <c r="R55" s="244"/>
      <c r="S55" s="244"/>
      <c r="T55" s="244"/>
      <c r="U55" s="244"/>
    </row>
    <row r="56" spans="1:21" ht="12.75">
      <c r="A56" s="243"/>
      <c r="B56" s="242"/>
      <c r="C56" s="243"/>
      <c r="D56" s="243"/>
      <c r="E56" s="243"/>
      <c r="F56" s="243"/>
      <c r="G56" s="243"/>
      <c r="H56" s="243"/>
      <c r="I56" s="243"/>
      <c r="J56" s="243"/>
      <c r="K56" s="243"/>
      <c r="L56" s="243"/>
      <c r="M56" s="243"/>
      <c r="N56" s="243"/>
      <c r="O56" s="243"/>
      <c r="P56" s="244"/>
      <c r="Q56" s="244"/>
      <c r="R56" s="244"/>
      <c r="S56" s="244"/>
      <c r="T56" s="244"/>
      <c r="U56" s="244"/>
    </row>
    <row r="57" spans="1:21" ht="12.75">
      <c r="A57" s="243"/>
      <c r="B57" s="242"/>
      <c r="C57" s="243"/>
      <c r="D57" s="243"/>
      <c r="E57" s="243"/>
      <c r="F57" s="243"/>
      <c r="G57" s="243"/>
      <c r="H57" s="243"/>
      <c r="I57" s="243"/>
      <c r="J57" s="243"/>
      <c r="K57" s="243"/>
      <c r="L57" s="243"/>
      <c r="M57" s="243"/>
      <c r="N57" s="243"/>
      <c r="O57" s="243"/>
      <c r="P57" s="244"/>
      <c r="Q57" s="244"/>
      <c r="R57" s="244"/>
      <c r="S57" s="244"/>
      <c r="T57" s="244"/>
      <c r="U57" s="244"/>
    </row>
    <row r="58" spans="1:21" ht="12.75">
      <c r="A58" s="243"/>
      <c r="B58" s="242"/>
      <c r="C58" s="243"/>
      <c r="D58" s="243"/>
      <c r="E58" s="243"/>
      <c r="F58" s="243"/>
      <c r="G58" s="243"/>
      <c r="H58" s="243"/>
      <c r="I58" s="243"/>
      <c r="J58" s="243"/>
      <c r="K58" s="243"/>
      <c r="L58" s="243"/>
      <c r="M58" s="243"/>
      <c r="N58" s="243"/>
      <c r="O58" s="243"/>
      <c r="P58" s="244"/>
      <c r="Q58" s="244"/>
      <c r="R58" s="244"/>
      <c r="S58" s="244"/>
      <c r="T58" s="244"/>
      <c r="U58" s="244"/>
    </row>
    <row r="59" spans="1:21" ht="12.75">
      <c r="A59" s="243"/>
      <c r="B59" s="242"/>
      <c r="C59" s="243"/>
      <c r="D59" s="243"/>
      <c r="E59" s="243"/>
      <c r="F59" s="243"/>
      <c r="G59" s="243"/>
      <c r="H59" s="243"/>
      <c r="I59" s="243"/>
      <c r="J59" s="243"/>
      <c r="K59" s="243"/>
      <c r="L59" s="243"/>
      <c r="M59" s="243"/>
      <c r="N59" s="243"/>
      <c r="O59" s="243"/>
      <c r="P59" s="244"/>
      <c r="Q59" s="244"/>
      <c r="R59" s="244"/>
      <c r="S59" s="244"/>
      <c r="T59" s="244"/>
      <c r="U59" s="244"/>
    </row>
    <row r="60" spans="1:21" ht="12.75">
      <c r="A60" s="243"/>
      <c r="B60" s="242"/>
      <c r="C60" s="243"/>
      <c r="D60" s="243"/>
      <c r="E60" s="243"/>
      <c r="F60" s="243"/>
      <c r="G60" s="243"/>
      <c r="H60" s="243"/>
      <c r="I60" s="243"/>
      <c r="J60" s="243"/>
      <c r="K60" s="243"/>
      <c r="L60" s="243"/>
      <c r="M60" s="243"/>
      <c r="N60" s="243"/>
      <c r="O60" s="243"/>
      <c r="P60" s="244"/>
      <c r="Q60" s="244"/>
      <c r="R60" s="244"/>
      <c r="S60" s="244"/>
      <c r="T60" s="244"/>
      <c r="U60" s="244"/>
    </row>
    <row r="61" spans="1:21" ht="12.75">
      <c r="A61" s="243"/>
      <c r="B61" s="242"/>
      <c r="C61" s="243"/>
      <c r="D61" s="243"/>
      <c r="E61" s="243"/>
      <c r="F61" s="243"/>
      <c r="G61" s="243"/>
      <c r="H61" s="243"/>
      <c r="I61" s="243"/>
      <c r="J61" s="243"/>
      <c r="K61" s="243"/>
      <c r="L61" s="243"/>
      <c r="M61" s="243"/>
      <c r="N61" s="243"/>
      <c r="O61" s="243"/>
      <c r="P61" s="244"/>
      <c r="Q61" s="244"/>
      <c r="R61" s="244"/>
      <c r="S61" s="244"/>
      <c r="T61" s="244"/>
      <c r="U61" s="244"/>
    </row>
    <row r="62" spans="1:21" ht="12.75">
      <c r="A62" s="243"/>
      <c r="B62" s="242"/>
      <c r="C62" s="243"/>
      <c r="D62" s="243"/>
      <c r="E62" s="243"/>
      <c r="F62" s="243"/>
      <c r="G62" s="243"/>
      <c r="H62" s="243"/>
      <c r="I62" s="243"/>
      <c r="J62" s="243"/>
      <c r="K62" s="243"/>
      <c r="L62" s="243"/>
      <c r="M62" s="243"/>
      <c r="N62" s="243"/>
      <c r="O62" s="243"/>
      <c r="P62" s="244"/>
      <c r="Q62" s="244"/>
      <c r="R62" s="244"/>
      <c r="S62" s="244"/>
      <c r="T62" s="244"/>
      <c r="U62" s="244"/>
    </row>
    <row r="63" spans="1:21" ht="12.75">
      <c r="A63" s="243"/>
      <c r="B63" s="242"/>
      <c r="C63" s="243"/>
      <c r="D63" s="243"/>
      <c r="E63" s="243"/>
      <c r="F63" s="243"/>
      <c r="G63" s="243"/>
      <c r="H63" s="243"/>
      <c r="I63" s="243"/>
      <c r="J63" s="243"/>
      <c r="K63" s="243"/>
      <c r="L63" s="243"/>
      <c r="M63" s="243"/>
      <c r="N63" s="243"/>
      <c r="O63" s="243"/>
      <c r="P63" s="244"/>
      <c r="Q63" s="244"/>
      <c r="R63" s="244"/>
      <c r="S63" s="244"/>
      <c r="T63" s="244"/>
      <c r="U63" s="244"/>
    </row>
    <row r="64" spans="1:21" ht="12.75">
      <c r="A64" s="243"/>
      <c r="B64" s="242"/>
      <c r="C64" s="243"/>
      <c r="D64" s="243"/>
      <c r="E64" s="243"/>
      <c r="F64" s="243"/>
      <c r="G64" s="243"/>
      <c r="H64" s="243"/>
      <c r="I64" s="243"/>
      <c r="J64" s="243"/>
      <c r="K64" s="243"/>
      <c r="L64" s="243"/>
      <c r="M64" s="243"/>
      <c r="N64" s="243"/>
      <c r="O64" s="243"/>
      <c r="P64" s="244"/>
      <c r="Q64" s="244"/>
      <c r="R64" s="244"/>
      <c r="S64" s="244"/>
      <c r="T64" s="244"/>
      <c r="U64" s="244"/>
    </row>
    <row r="65" spans="1:21" ht="12.75">
      <c r="A65" s="243"/>
      <c r="B65" s="242"/>
      <c r="C65" s="243"/>
      <c r="D65" s="243"/>
      <c r="E65" s="243"/>
      <c r="F65" s="243"/>
      <c r="G65" s="243"/>
      <c r="H65" s="243"/>
      <c r="I65" s="243"/>
      <c r="J65" s="243"/>
      <c r="K65" s="243"/>
      <c r="L65" s="243"/>
      <c r="M65" s="243"/>
      <c r="N65" s="243"/>
      <c r="O65" s="243"/>
      <c r="P65" s="244"/>
      <c r="Q65" s="244"/>
      <c r="R65" s="244"/>
      <c r="S65" s="244"/>
      <c r="T65" s="244"/>
      <c r="U65" s="244"/>
    </row>
    <row r="66" spans="1:21" ht="12.75">
      <c r="A66" s="243"/>
      <c r="B66" s="242"/>
      <c r="C66" s="243"/>
      <c r="D66" s="243"/>
      <c r="E66" s="243"/>
      <c r="F66" s="243"/>
      <c r="G66" s="243"/>
      <c r="H66" s="243"/>
      <c r="I66" s="243"/>
      <c r="J66" s="243"/>
      <c r="K66" s="243"/>
      <c r="L66" s="243"/>
      <c r="M66" s="243"/>
      <c r="N66" s="243"/>
      <c r="O66" s="243"/>
      <c r="P66" s="244"/>
      <c r="Q66" s="244"/>
      <c r="R66" s="244"/>
      <c r="S66" s="244"/>
      <c r="T66" s="244"/>
      <c r="U66" s="244"/>
    </row>
    <row r="67" spans="1:21" ht="12.75">
      <c r="A67" s="243"/>
      <c r="B67" s="242"/>
      <c r="C67" s="243"/>
      <c r="D67" s="243"/>
      <c r="E67" s="243"/>
      <c r="F67" s="243"/>
      <c r="G67" s="243"/>
      <c r="H67" s="243"/>
      <c r="I67" s="243"/>
      <c r="J67" s="243"/>
      <c r="K67" s="243"/>
      <c r="L67" s="243"/>
      <c r="M67" s="243"/>
      <c r="N67" s="243"/>
      <c r="O67" s="243"/>
      <c r="P67" s="244"/>
      <c r="Q67" s="244"/>
      <c r="R67" s="244"/>
      <c r="S67" s="244"/>
      <c r="T67" s="244"/>
      <c r="U67" s="244"/>
    </row>
    <row r="68" spans="1:21" ht="12.75">
      <c r="A68" s="243"/>
      <c r="B68" s="242"/>
      <c r="C68" s="243"/>
      <c r="D68" s="243"/>
      <c r="E68" s="243"/>
      <c r="F68" s="243"/>
      <c r="G68" s="243"/>
      <c r="H68" s="243"/>
      <c r="I68" s="243"/>
      <c r="J68" s="243"/>
      <c r="K68" s="243"/>
      <c r="L68" s="243"/>
      <c r="M68" s="243"/>
      <c r="N68" s="243"/>
      <c r="O68" s="243"/>
      <c r="P68" s="244"/>
      <c r="Q68" s="244"/>
      <c r="R68" s="244"/>
      <c r="S68" s="244"/>
      <c r="T68" s="244"/>
      <c r="U68" s="244"/>
    </row>
    <row r="69" spans="1:21" ht="12.75">
      <c r="A69" s="243"/>
      <c r="B69" s="242"/>
      <c r="C69" s="243"/>
      <c r="D69" s="243"/>
      <c r="E69" s="243"/>
      <c r="F69" s="243"/>
      <c r="G69" s="243"/>
      <c r="H69" s="243"/>
      <c r="I69" s="243"/>
      <c r="J69" s="243"/>
      <c r="K69" s="243"/>
      <c r="L69" s="243"/>
      <c r="M69" s="243"/>
      <c r="N69" s="243"/>
      <c r="O69" s="243"/>
      <c r="P69" s="244"/>
      <c r="Q69" s="244"/>
      <c r="R69" s="244"/>
      <c r="S69" s="244"/>
      <c r="T69" s="244"/>
      <c r="U69" s="244"/>
    </row>
    <row r="70" spans="1:21" ht="12.75">
      <c r="A70" s="243"/>
      <c r="B70" s="242"/>
      <c r="C70" s="243"/>
      <c r="D70" s="243"/>
      <c r="E70" s="243"/>
      <c r="F70" s="243"/>
      <c r="G70" s="243"/>
      <c r="H70" s="243"/>
      <c r="I70" s="243"/>
      <c r="J70" s="243"/>
      <c r="K70" s="243"/>
      <c r="L70" s="243"/>
      <c r="M70" s="243"/>
      <c r="N70" s="243"/>
      <c r="O70" s="243"/>
      <c r="P70" s="244"/>
      <c r="Q70" s="244"/>
      <c r="R70" s="244"/>
      <c r="S70" s="244"/>
      <c r="T70" s="244"/>
      <c r="U70" s="244"/>
    </row>
    <row r="71" spans="1:21" ht="12.75">
      <c r="A71" s="243"/>
      <c r="B71" s="242"/>
      <c r="C71" s="243"/>
      <c r="D71" s="243"/>
      <c r="E71" s="243"/>
      <c r="F71" s="243"/>
      <c r="G71" s="243"/>
      <c r="H71" s="243"/>
      <c r="I71" s="243"/>
      <c r="J71" s="243"/>
      <c r="K71" s="243"/>
      <c r="L71" s="243"/>
      <c r="M71" s="243"/>
      <c r="N71" s="243"/>
      <c r="O71" s="243"/>
      <c r="P71" s="244"/>
      <c r="Q71" s="244"/>
      <c r="R71" s="244"/>
      <c r="S71" s="244"/>
      <c r="T71" s="244"/>
      <c r="U71" s="244"/>
    </row>
    <row r="72" spans="1:21" ht="12.75">
      <c r="A72" s="243"/>
      <c r="B72" s="242"/>
      <c r="C72" s="243"/>
      <c r="D72" s="243"/>
      <c r="E72" s="243"/>
      <c r="F72" s="243"/>
      <c r="G72" s="243"/>
      <c r="H72" s="243"/>
      <c r="I72" s="243"/>
      <c r="J72" s="243"/>
      <c r="K72" s="243"/>
      <c r="L72" s="243"/>
      <c r="M72" s="243"/>
      <c r="N72" s="243"/>
      <c r="O72" s="243"/>
      <c r="P72" s="244"/>
      <c r="Q72" s="244"/>
      <c r="R72" s="244"/>
      <c r="S72" s="244"/>
      <c r="T72" s="244"/>
      <c r="U72" s="244"/>
    </row>
    <row r="73" spans="1:21" ht="12.75">
      <c r="A73" s="243"/>
      <c r="B73" s="242"/>
      <c r="C73" s="243"/>
      <c r="D73" s="243"/>
      <c r="E73" s="243"/>
      <c r="F73" s="243"/>
      <c r="G73" s="243"/>
      <c r="H73" s="243"/>
      <c r="I73" s="243"/>
      <c r="J73" s="243"/>
      <c r="K73" s="243"/>
      <c r="L73" s="243"/>
      <c r="M73" s="243"/>
      <c r="N73" s="243"/>
      <c r="O73" s="243"/>
      <c r="P73" s="244"/>
      <c r="Q73" s="244"/>
      <c r="R73" s="244"/>
      <c r="S73" s="244"/>
      <c r="T73" s="244"/>
      <c r="U73" s="244"/>
    </row>
    <row r="74" spans="1:21" ht="12.75">
      <c r="A74" s="243"/>
      <c r="B74" s="242"/>
      <c r="C74" s="243"/>
      <c r="D74" s="243"/>
      <c r="E74" s="243"/>
      <c r="F74" s="243"/>
      <c r="G74" s="243"/>
      <c r="H74" s="243"/>
      <c r="I74" s="243"/>
      <c r="J74" s="243"/>
      <c r="K74" s="243"/>
      <c r="L74" s="243"/>
      <c r="M74" s="243"/>
      <c r="N74" s="243"/>
      <c r="O74" s="243"/>
      <c r="P74" s="244"/>
      <c r="Q74" s="244"/>
      <c r="R74" s="244"/>
      <c r="S74" s="244"/>
      <c r="T74" s="244"/>
      <c r="U74" s="244"/>
    </row>
    <row r="75" spans="1:21" ht="12.75">
      <c r="A75" s="243"/>
      <c r="B75" s="242"/>
      <c r="C75" s="243"/>
      <c r="D75" s="243"/>
      <c r="E75" s="243"/>
      <c r="F75" s="243"/>
      <c r="G75" s="243"/>
      <c r="H75" s="243"/>
      <c r="I75" s="243"/>
      <c r="J75" s="243"/>
      <c r="K75" s="243"/>
      <c r="L75" s="243"/>
      <c r="M75" s="243"/>
      <c r="N75" s="243"/>
      <c r="O75" s="243"/>
      <c r="P75" s="244"/>
      <c r="Q75" s="244"/>
      <c r="R75" s="244"/>
      <c r="S75" s="244"/>
      <c r="T75" s="244"/>
      <c r="U75" s="244"/>
    </row>
    <row r="76" spans="1:21" ht="12.75">
      <c r="A76" s="243"/>
      <c r="B76" s="242"/>
      <c r="C76" s="243"/>
      <c r="D76" s="243"/>
      <c r="E76" s="243"/>
      <c r="F76" s="243"/>
      <c r="G76" s="243"/>
      <c r="H76" s="243"/>
      <c r="I76" s="243"/>
      <c r="J76" s="243"/>
      <c r="K76" s="243"/>
      <c r="L76" s="243"/>
      <c r="M76" s="243"/>
      <c r="N76" s="243"/>
      <c r="O76" s="243"/>
      <c r="P76" s="244"/>
      <c r="Q76" s="244"/>
      <c r="R76" s="244"/>
      <c r="S76" s="244"/>
      <c r="T76" s="244"/>
      <c r="U76" s="244"/>
    </row>
    <row r="77" spans="1:21" ht="12.75">
      <c r="A77" s="243"/>
      <c r="B77" s="242"/>
      <c r="C77" s="243"/>
      <c r="D77" s="243"/>
      <c r="E77" s="243"/>
      <c r="F77" s="243"/>
      <c r="G77" s="243"/>
      <c r="H77" s="243"/>
      <c r="I77" s="243"/>
      <c r="J77" s="243"/>
      <c r="K77" s="243"/>
      <c r="L77" s="243"/>
      <c r="M77" s="243"/>
      <c r="N77" s="243"/>
      <c r="O77" s="243"/>
      <c r="P77" s="244"/>
      <c r="Q77" s="244"/>
      <c r="R77" s="244"/>
      <c r="S77" s="244"/>
      <c r="T77" s="244"/>
      <c r="U77" s="244"/>
    </row>
    <row r="78" spans="1:21" ht="12.75">
      <c r="A78" s="243"/>
      <c r="B78" s="242"/>
      <c r="C78" s="243"/>
      <c r="D78" s="243"/>
      <c r="E78" s="243"/>
      <c r="F78" s="243"/>
      <c r="G78" s="243"/>
      <c r="H78" s="243"/>
      <c r="I78" s="243"/>
      <c r="J78" s="243"/>
      <c r="K78" s="243"/>
      <c r="L78" s="243"/>
      <c r="M78" s="243"/>
      <c r="N78" s="243"/>
      <c r="O78" s="243"/>
      <c r="P78" s="244"/>
      <c r="Q78" s="244"/>
      <c r="R78" s="244"/>
      <c r="S78" s="244"/>
      <c r="T78" s="244"/>
      <c r="U78" s="244"/>
    </row>
    <row r="79" spans="1:21" ht="12.75">
      <c r="A79" s="243"/>
      <c r="B79" s="242"/>
      <c r="C79" s="243"/>
      <c r="D79" s="243"/>
      <c r="E79" s="243"/>
      <c r="F79" s="243"/>
      <c r="G79" s="243"/>
      <c r="H79" s="243"/>
      <c r="I79" s="243"/>
      <c r="J79" s="243"/>
      <c r="K79" s="243"/>
      <c r="L79" s="243"/>
      <c r="M79" s="243"/>
      <c r="N79" s="243"/>
      <c r="O79" s="243"/>
      <c r="P79" s="244"/>
      <c r="Q79" s="244"/>
      <c r="R79" s="244"/>
      <c r="S79" s="244"/>
      <c r="T79" s="244"/>
      <c r="U79" s="244"/>
    </row>
    <row r="80" spans="1:21" ht="12.75">
      <c r="A80" s="243"/>
      <c r="B80" s="242"/>
      <c r="C80" s="243"/>
      <c r="D80" s="243"/>
      <c r="E80" s="243"/>
      <c r="F80" s="243"/>
      <c r="G80" s="243"/>
      <c r="H80" s="243"/>
      <c r="I80" s="243"/>
      <c r="J80" s="243"/>
      <c r="K80" s="243"/>
      <c r="L80" s="243"/>
      <c r="M80" s="243"/>
      <c r="N80" s="243"/>
      <c r="O80" s="243"/>
      <c r="P80" s="244"/>
      <c r="Q80" s="244"/>
      <c r="R80" s="244"/>
      <c r="S80" s="244"/>
      <c r="T80" s="244"/>
      <c r="U80" s="244"/>
    </row>
    <row r="81" spans="1:21" ht="12.75">
      <c r="A81" s="243"/>
      <c r="B81" s="242"/>
      <c r="C81" s="243"/>
      <c r="D81" s="243"/>
      <c r="E81" s="243"/>
      <c r="F81" s="243"/>
      <c r="G81" s="243"/>
      <c r="H81" s="243"/>
      <c r="I81" s="243"/>
      <c r="J81" s="243"/>
      <c r="K81" s="243"/>
      <c r="L81" s="243"/>
      <c r="M81" s="243"/>
      <c r="N81" s="243"/>
      <c r="O81" s="243"/>
      <c r="P81" s="244"/>
      <c r="Q81" s="244"/>
      <c r="R81" s="244"/>
      <c r="S81" s="244"/>
      <c r="T81" s="244"/>
      <c r="U81" s="244"/>
    </row>
    <row r="82" spans="1:21" ht="12.75">
      <c r="A82" s="243"/>
      <c r="B82" s="242"/>
      <c r="C82" s="243"/>
      <c r="D82" s="243"/>
      <c r="E82" s="243"/>
      <c r="F82" s="243"/>
      <c r="G82" s="243"/>
      <c r="H82" s="243"/>
      <c r="I82" s="243"/>
      <c r="J82" s="243"/>
      <c r="K82" s="243"/>
      <c r="L82" s="243"/>
      <c r="M82" s="243"/>
      <c r="N82" s="243"/>
      <c r="O82" s="243"/>
      <c r="P82" s="244"/>
      <c r="Q82" s="244"/>
      <c r="R82" s="244"/>
      <c r="S82" s="244"/>
      <c r="T82" s="244"/>
      <c r="U82" s="244"/>
    </row>
    <row r="83" spans="1:21" ht="12.75">
      <c r="A83" s="243"/>
      <c r="B83" s="242"/>
      <c r="C83" s="243"/>
      <c r="D83" s="243"/>
      <c r="E83" s="243"/>
      <c r="F83" s="243"/>
      <c r="G83" s="243"/>
      <c r="H83" s="243"/>
      <c r="I83" s="243"/>
      <c r="J83" s="243"/>
      <c r="K83" s="243"/>
      <c r="L83" s="243"/>
      <c r="M83" s="243"/>
      <c r="N83" s="243"/>
      <c r="O83" s="243"/>
      <c r="P83" s="244"/>
      <c r="Q83" s="244"/>
      <c r="R83" s="244"/>
      <c r="S83" s="244"/>
      <c r="T83" s="244"/>
      <c r="U83" s="244"/>
    </row>
    <row r="84" spans="1:21" ht="12.75">
      <c r="A84" s="243"/>
      <c r="B84" s="242"/>
      <c r="C84" s="243"/>
      <c r="D84" s="243"/>
      <c r="E84" s="243"/>
      <c r="F84" s="243"/>
      <c r="G84" s="243"/>
      <c r="H84" s="243"/>
      <c r="I84" s="243"/>
      <c r="J84" s="243"/>
      <c r="K84" s="243"/>
      <c r="L84" s="243"/>
      <c r="M84" s="243"/>
      <c r="N84" s="243"/>
      <c r="O84" s="243"/>
      <c r="P84" s="244"/>
      <c r="Q84" s="244"/>
      <c r="R84" s="244"/>
      <c r="S84" s="244"/>
      <c r="T84" s="244"/>
      <c r="U84" s="244"/>
    </row>
    <row r="85" spans="1:21" ht="12.75">
      <c r="A85" s="243"/>
      <c r="B85" s="242"/>
      <c r="C85" s="243"/>
      <c r="D85" s="243"/>
      <c r="E85" s="243"/>
      <c r="F85" s="243"/>
      <c r="G85" s="243"/>
      <c r="H85" s="243"/>
      <c r="I85" s="243"/>
      <c r="J85" s="243"/>
      <c r="K85" s="243"/>
      <c r="L85" s="243"/>
      <c r="M85" s="243"/>
      <c r="N85" s="243"/>
      <c r="O85" s="243"/>
      <c r="P85" s="244"/>
      <c r="Q85" s="244"/>
      <c r="R85" s="244"/>
      <c r="S85" s="244"/>
      <c r="T85" s="244"/>
      <c r="U85" s="244"/>
    </row>
    <row r="86" spans="1:21" ht="12.75">
      <c r="A86" s="243"/>
      <c r="B86" s="242"/>
      <c r="C86" s="243"/>
      <c r="D86" s="243"/>
      <c r="E86" s="243"/>
      <c r="F86" s="243"/>
      <c r="G86" s="243"/>
      <c r="H86" s="243"/>
      <c r="I86" s="243"/>
      <c r="J86" s="243"/>
      <c r="K86" s="243"/>
      <c r="L86" s="243"/>
      <c r="M86" s="243"/>
      <c r="N86" s="243"/>
      <c r="O86" s="243"/>
      <c r="P86" s="244"/>
      <c r="Q86" s="244"/>
      <c r="R86" s="244"/>
      <c r="S86" s="244"/>
      <c r="T86" s="244"/>
      <c r="U86" s="244"/>
    </row>
    <row r="87" spans="1:21" ht="12.75">
      <c r="A87" s="243"/>
      <c r="B87" s="242"/>
      <c r="C87" s="243"/>
      <c r="D87" s="243"/>
      <c r="E87" s="243"/>
      <c r="F87" s="243"/>
      <c r="G87" s="243"/>
      <c r="H87" s="243"/>
      <c r="I87" s="243"/>
      <c r="J87" s="243"/>
      <c r="K87" s="243"/>
      <c r="L87" s="243"/>
      <c r="M87" s="243"/>
      <c r="N87" s="243"/>
      <c r="O87" s="243"/>
      <c r="P87" s="244"/>
      <c r="Q87" s="244"/>
      <c r="R87" s="244"/>
      <c r="S87" s="244"/>
      <c r="T87" s="244"/>
      <c r="U87" s="244"/>
    </row>
    <row r="88" spans="1:21" ht="12.75">
      <c r="A88" s="243"/>
      <c r="B88" s="242"/>
      <c r="C88" s="243"/>
      <c r="D88" s="243"/>
      <c r="E88" s="243"/>
      <c r="F88" s="243"/>
      <c r="G88" s="243"/>
      <c r="H88" s="243"/>
      <c r="I88" s="243"/>
      <c r="J88" s="243"/>
      <c r="K88" s="243"/>
      <c r="L88" s="243"/>
      <c r="M88" s="243"/>
      <c r="N88" s="243"/>
      <c r="O88" s="243"/>
      <c r="P88" s="244"/>
      <c r="Q88" s="244"/>
      <c r="R88" s="244"/>
      <c r="S88" s="244"/>
      <c r="T88" s="244"/>
      <c r="U88" s="244"/>
    </row>
    <row r="89" spans="1:21" ht="12.75">
      <c r="A89" s="243"/>
      <c r="B89" s="242"/>
      <c r="C89" s="243"/>
      <c r="D89" s="243"/>
      <c r="E89" s="243"/>
      <c r="F89" s="243"/>
      <c r="G89" s="243"/>
      <c r="H89" s="243"/>
      <c r="I89" s="243"/>
      <c r="J89" s="243"/>
      <c r="K89" s="243"/>
      <c r="L89" s="243"/>
      <c r="M89" s="243"/>
      <c r="N89" s="243"/>
      <c r="O89" s="243"/>
      <c r="P89" s="244"/>
      <c r="Q89" s="244"/>
      <c r="R89" s="244"/>
      <c r="S89" s="244"/>
      <c r="T89" s="244"/>
      <c r="U89" s="244"/>
    </row>
    <row r="90" spans="1:21" ht="12.75">
      <c r="A90" s="243"/>
      <c r="B90" s="242"/>
      <c r="C90" s="243"/>
      <c r="D90" s="243"/>
      <c r="E90" s="243"/>
      <c r="F90" s="243"/>
      <c r="G90" s="243"/>
      <c r="H90" s="243"/>
      <c r="I90" s="243"/>
      <c r="J90" s="243"/>
      <c r="K90" s="243"/>
      <c r="L90" s="243"/>
      <c r="M90" s="243"/>
      <c r="N90" s="243"/>
      <c r="O90" s="243"/>
      <c r="P90" s="244"/>
      <c r="Q90" s="244"/>
      <c r="R90" s="244"/>
      <c r="S90" s="244"/>
      <c r="T90" s="244"/>
      <c r="U90" s="244"/>
    </row>
    <row r="91" spans="1:21" ht="12.75">
      <c r="A91" s="243"/>
      <c r="B91" s="242"/>
      <c r="C91" s="243"/>
      <c r="D91" s="243"/>
      <c r="E91" s="243"/>
      <c r="F91" s="243"/>
      <c r="G91" s="243"/>
      <c r="H91" s="243"/>
      <c r="I91" s="243"/>
      <c r="J91" s="243"/>
      <c r="K91" s="243"/>
      <c r="L91" s="243"/>
      <c r="M91" s="243"/>
      <c r="N91" s="243"/>
      <c r="O91" s="243"/>
      <c r="P91" s="244"/>
      <c r="Q91" s="244"/>
      <c r="R91" s="244"/>
      <c r="S91" s="244"/>
      <c r="T91" s="244"/>
      <c r="U91" s="244"/>
    </row>
    <row r="92" spans="1:21" ht="12.75">
      <c r="A92" s="243"/>
      <c r="B92" s="242"/>
      <c r="C92" s="243"/>
      <c r="D92" s="243"/>
      <c r="E92" s="243"/>
      <c r="F92" s="243"/>
      <c r="G92" s="243"/>
      <c r="H92" s="243"/>
      <c r="I92" s="243"/>
      <c r="J92" s="243"/>
      <c r="K92" s="243"/>
      <c r="L92" s="243"/>
      <c r="M92" s="243"/>
      <c r="N92" s="243"/>
      <c r="O92" s="243"/>
      <c r="P92" s="244"/>
      <c r="Q92" s="244"/>
      <c r="R92" s="244"/>
      <c r="S92" s="244"/>
      <c r="T92" s="244"/>
      <c r="U92" s="244"/>
    </row>
    <row r="93" spans="1:21" ht="12.75">
      <c r="A93" s="243"/>
      <c r="B93" s="242"/>
      <c r="C93" s="243"/>
      <c r="D93" s="243"/>
      <c r="E93" s="243"/>
      <c r="F93" s="243"/>
      <c r="G93" s="243"/>
      <c r="H93" s="243"/>
      <c r="I93" s="243"/>
      <c r="J93" s="243"/>
      <c r="K93" s="243"/>
      <c r="L93" s="243"/>
      <c r="M93" s="243"/>
      <c r="N93" s="243"/>
      <c r="O93" s="243"/>
      <c r="P93" s="244"/>
      <c r="Q93" s="244"/>
      <c r="R93" s="244"/>
      <c r="S93" s="244"/>
      <c r="T93" s="244"/>
      <c r="U93" s="244"/>
    </row>
    <row r="94" spans="1:21" ht="12.75">
      <c r="A94" s="243"/>
      <c r="B94" s="242"/>
      <c r="C94" s="243"/>
      <c r="D94" s="243"/>
      <c r="E94" s="243"/>
      <c r="F94" s="243"/>
      <c r="G94" s="243"/>
      <c r="H94" s="243"/>
      <c r="I94" s="243"/>
      <c r="J94" s="243"/>
      <c r="K94" s="243"/>
      <c r="L94" s="243"/>
      <c r="M94" s="243"/>
      <c r="N94" s="243"/>
      <c r="O94" s="243"/>
      <c r="P94" s="244"/>
      <c r="Q94" s="244"/>
      <c r="R94" s="244"/>
      <c r="S94" s="244"/>
      <c r="T94" s="244"/>
      <c r="U94" s="244"/>
    </row>
    <row r="95" spans="1:21" ht="12.75">
      <c r="A95" s="243"/>
      <c r="B95" s="242"/>
      <c r="C95" s="243"/>
      <c r="D95" s="243"/>
      <c r="E95" s="243"/>
      <c r="F95" s="243"/>
      <c r="G95" s="243"/>
      <c r="H95" s="243"/>
      <c r="I95" s="243"/>
      <c r="J95" s="243"/>
      <c r="K95" s="243"/>
      <c r="L95" s="243"/>
      <c r="M95" s="243"/>
      <c r="N95" s="243"/>
      <c r="O95" s="243"/>
      <c r="P95" s="244"/>
      <c r="Q95" s="244"/>
      <c r="R95" s="244"/>
      <c r="S95" s="244"/>
      <c r="T95" s="244"/>
      <c r="U95" s="244"/>
    </row>
    <row r="96" spans="1:21" ht="12.75">
      <c r="A96" s="243"/>
      <c r="B96" s="242"/>
      <c r="C96" s="243"/>
      <c r="D96" s="243"/>
      <c r="E96" s="243"/>
      <c r="F96" s="243"/>
      <c r="G96" s="243"/>
      <c r="H96" s="243"/>
      <c r="I96" s="243"/>
      <c r="J96" s="243"/>
      <c r="K96" s="243"/>
      <c r="L96" s="243"/>
      <c r="M96" s="243"/>
      <c r="N96" s="243"/>
      <c r="O96" s="243"/>
      <c r="P96" s="244"/>
      <c r="Q96" s="244"/>
      <c r="R96" s="244"/>
      <c r="S96" s="244"/>
      <c r="T96" s="244"/>
      <c r="U96" s="244"/>
    </row>
    <row r="97" spans="1:21" ht="12.75">
      <c r="A97" s="243"/>
      <c r="B97" s="242"/>
      <c r="C97" s="243"/>
      <c r="D97" s="243"/>
      <c r="E97" s="243"/>
      <c r="F97" s="243"/>
      <c r="G97" s="243"/>
      <c r="H97" s="243"/>
      <c r="I97" s="243"/>
      <c r="J97" s="243"/>
      <c r="K97" s="243"/>
      <c r="L97" s="243"/>
      <c r="M97" s="243"/>
      <c r="N97" s="243"/>
      <c r="O97" s="243"/>
      <c r="P97" s="244"/>
      <c r="Q97" s="244"/>
      <c r="R97" s="244"/>
      <c r="S97" s="244"/>
      <c r="T97" s="244"/>
      <c r="U97" s="244"/>
    </row>
    <row r="98" spans="1:21" ht="12.75">
      <c r="A98" s="243"/>
      <c r="B98" s="242"/>
      <c r="C98" s="243"/>
      <c r="D98" s="243"/>
      <c r="E98" s="243"/>
      <c r="F98" s="243"/>
      <c r="G98" s="243"/>
      <c r="H98" s="243"/>
      <c r="I98" s="243"/>
      <c r="J98" s="243"/>
      <c r="K98" s="243"/>
      <c r="L98" s="243"/>
      <c r="M98" s="243"/>
      <c r="N98" s="243"/>
      <c r="O98" s="243"/>
      <c r="P98" s="244"/>
      <c r="Q98" s="244"/>
      <c r="R98" s="244"/>
      <c r="S98" s="244"/>
      <c r="T98" s="244"/>
      <c r="U98" s="244"/>
    </row>
    <row r="99" spans="1:21" ht="12.75">
      <c r="A99" s="243"/>
      <c r="B99" s="242"/>
      <c r="C99" s="243"/>
      <c r="D99" s="243"/>
      <c r="E99" s="243"/>
      <c r="F99" s="243"/>
      <c r="G99" s="243"/>
      <c r="H99" s="243"/>
      <c r="I99" s="243"/>
      <c r="J99" s="243"/>
      <c r="K99" s="243"/>
      <c r="L99" s="243"/>
      <c r="M99" s="243"/>
      <c r="N99" s="243"/>
      <c r="O99" s="243"/>
      <c r="P99" s="244"/>
      <c r="Q99" s="244"/>
      <c r="R99" s="244"/>
      <c r="S99" s="244"/>
      <c r="T99" s="244"/>
      <c r="U99" s="244"/>
    </row>
    <row r="100" spans="1:21" ht="12.75">
      <c r="A100" s="243"/>
      <c r="B100" s="242"/>
      <c r="C100" s="243"/>
      <c r="D100" s="243"/>
      <c r="E100" s="243"/>
      <c r="F100" s="243"/>
      <c r="G100" s="243"/>
      <c r="H100" s="243"/>
      <c r="I100" s="243"/>
      <c r="J100" s="243"/>
      <c r="K100" s="243"/>
      <c r="L100" s="243"/>
      <c r="M100" s="243"/>
      <c r="N100" s="243"/>
      <c r="O100" s="243"/>
      <c r="P100" s="244"/>
      <c r="Q100" s="244"/>
      <c r="R100" s="244"/>
      <c r="S100" s="244"/>
      <c r="T100" s="244"/>
      <c r="U100" s="244"/>
    </row>
    <row r="101" spans="1:21" ht="12.75">
      <c r="A101" s="243"/>
      <c r="B101" s="242"/>
      <c r="C101" s="243"/>
      <c r="D101" s="243"/>
      <c r="E101" s="243"/>
      <c r="F101" s="243"/>
      <c r="G101" s="243"/>
      <c r="H101" s="243"/>
      <c r="I101" s="243"/>
      <c r="J101" s="243"/>
      <c r="K101" s="243"/>
      <c r="L101" s="243"/>
      <c r="M101" s="243"/>
      <c r="N101" s="243"/>
      <c r="O101" s="243"/>
      <c r="P101" s="244"/>
      <c r="Q101" s="244"/>
      <c r="R101" s="244"/>
      <c r="S101" s="244"/>
      <c r="T101" s="244"/>
      <c r="U101" s="244"/>
    </row>
    <row r="102" spans="1:21" ht="12.75">
      <c r="A102" s="243"/>
      <c r="B102" s="242"/>
      <c r="C102" s="243"/>
      <c r="D102" s="243"/>
      <c r="E102" s="243"/>
      <c r="F102" s="243"/>
      <c r="G102" s="243"/>
      <c r="H102" s="243"/>
      <c r="I102" s="243"/>
      <c r="J102" s="243"/>
      <c r="K102" s="243"/>
      <c r="L102" s="243"/>
      <c r="M102" s="243"/>
      <c r="N102" s="243"/>
      <c r="O102" s="243"/>
      <c r="P102" s="244"/>
      <c r="Q102" s="244"/>
      <c r="R102" s="244"/>
      <c r="S102" s="244"/>
      <c r="T102" s="244"/>
      <c r="U102" s="244"/>
    </row>
    <row r="103" spans="1:21" ht="12.75">
      <c r="A103" s="243"/>
      <c r="B103" s="242"/>
      <c r="C103" s="243"/>
      <c r="D103" s="243"/>
      <c r="E103" s="243"/>
      <c r="F103" s="243"/>
      <c r="G103" s="243"/>
      <c r="H103" s="243"/>
      <c r="I103" s="243"/>
      <c r="J103" s="243"/>
      <c r="K103" s="243"/>
      <c r="L103" s="243"/>
      <c r="M103" s="243"/>
      <c r="N103" s="243"/>
      <c r="O103" s="243"/>
      <c r="P103" s="244"/>
      <c r="Q103" s="244"/>
      <c r="R103" s="244"/>
      <c r="S103" s="244"/>
      <c r="T103" s="244"/>
      <c r="U103" s="244"/>
    </row>
    <row r="104" spans="1:21" ht="12.75">
      <c r="A104" s="243"/>
      <c r="B104" s="242"/>
      <c r="C104" s="243"/>
      <c r="D104" s="243"/>
      <c r="E104" s="243"/>
      <c r="F104" s="243"/>
      <c r="G104" s="243"/>
      <c r="H104" s="243"/>
      <c r="I104" s="243"/>
      <c r="J104" s="243"/>
      <c r="K104" s="243"/>
      <c r="L104" s="243"/>
      <c r="M104" s="243"/>
      <c r="N104" s="243"/>
      <c r="O104" s="243"/>
      <c r="P104" s="244"/>
      <c r="Q104" s="244"/>
      <c r="R104" s="244"/>
      <c r="S104" s="244"/>
      <c r="T104" s="244"/>
      <c r="U104" s="244"/>
    </row>
    <row r="105" spans="1:21" ht="12.75">
      <c r="A105" s="243"/>
      <c r="B105" s="242"/>
      <c r="C105" s="243"/>
      <c r="D105" s="243"/>
      <c r="E105" s="243"/>
      <c r="F105" s="243"/>
      <c r="G105" s="243"/>
      <c r="H105" s="243"/>
      <c r="I105" s="243"/>
      <c r="J105" s="243"/>
      <c r="K105" s="243"/>
      <c r="L105" s="243"/>
      <c r="M105" s="243"/>
      <c r="N105" s="243"/>
      <c r="O105" s="243"/>
      <c r="P105" s="244"/>
      <c r="Q105" s="244"/>
      <c r="R105" s="244"/>
      <c r="S105" s="244"/>
      <c r="T105" s="244"/>
      <c r="U105" s="244"/>
    </row>
    <row r="106" spans="1:21" ht="12.75">
      <c r="A106" s="243"/>
      <c r="B106" s="242"/>
      <c r="C106" s="243"/>
      <c r="D106" s="243"/>
      <c r="E106" s="243"/>
      <c r="F106" s="243"/>
      <c r="G106" s="243"/>
      <c r="H106" s="243"/>
      <c r="I106" s="243"/>
      <c r="J106" s="243"/>
      <c r="K106" s="243"/>
      <c r="L106" s="243"/>
      <c r="M106" s="243"/>
      <c r="N106" s="243"/>
      <c r="O106" s="243"/>
      <c r="P106" s="244"/>
      <c r="Q106" s="244"/>
      <c r="R106" s="244"/>
      <c r="S106" s="244"/>
      <c r="T106" s="244"/>
      <c r="U106" s="244"/>
    </row>
    <row r="107" spans="1:21" ht="12.75">
      <c r="A107" s="243"/>
      <c r="B107" s="242"/>
      <c r="C107" s="243"/>
      <c r="D107" s="243"/>
      <c r="E107" s="243"/>
      <c r="F107" s="243"/>
      <c r="G107" s="243"/>
      <c r="H107" s="243"/>
      <c r="I107" s="243"/>
      <c r="J107" s="243"/>
      <c r="K107" s="243"/>
      <c r="L107" s="243"/>
      <c r="M107" s="243"/>
      <c r="N107" s="243"/>
      <c r="O107" s="243"/>
      <c r="P107" s="244"/>
      <c r="Q107" s="244"/>
      <c r="R107" s="244"/>
      <c r="S107" s="244"/>
      <c r="T107" s="244"/>
      <c r="U107" s="244"/>
    </row>
    <row r="108" spans="1:21" ht="12.75">
      <c r="A108" s="243"/>
      <c r="B108" s="242"/>
      <c r="C108" s="243"/>
      <c r="D108" s="243"/>
      <c r="E108" s="243"/>
      <c r="F108" s="243"/>
      <c r="G108" s="243"/>
      <c r="H108" s="243"/>
      <c r="I108" s="243"/>
      <c r="J108" s="243"/>
      <c r="K108" s="243"/>
      <c r="L108" s="243"/>
      <c r="M108" s="243"/>
      <c r="N108" s="243"/>
      <c r="O108" s="243"/>
      <c r="P108" s="244"/>
      <c r="Q108" s="244"/>
      <c r="R108" s="244"/>
      <c r="S108" s="244"/>
      <c r="T108" s="244"/>
      <c r="U108" s="244"/>
    </row>
    <row r="109" spans="1:21" ht="12.75">
      <c r="A109" s="243"/>
      <c r="B109" s="242"/>
      <c r="C109" s="243"/>
      <c r="D109" s="243"/>
      <c r="E109" s="243"/>
      <c r="F109" s="243"/>
      <c r="G109" s="243"/>
      <c r="H109" s="243"/>
      <c r="I109" s="243"/>
      <c r="J109" s="243"/>
      <c r="K109" s="243"/>
      <c r="L109" s="243"/>
      <c r="M109" s="243"/>
      <c r="N109" s="243"/>
      <c r="O109" s="243"/>
      <c r="P109" s="244"/>
      <c r="Q109" s="244"/>
      <c r="R109" s="244"/>
      <c r="S109" s="244"/>
      <c r="T109" s="244"/>
      <c r="U109" s="244"/>
    </row>
    <row r="110" spans="1:21" ht="12.75">
      <c r="A110" s="243"/>
      <c r="B110" s="242"/>
      <c r="C110" s="243"/>
      <c r="D110" s="243"/>
      <c r="E110" s="243"/>
      <c r="F110" s="243"/>
      <c r="G110" s="243"/>
      <c r="H110" s="243"/>
      <c r="I110" s="243"/>
      <c r="J110" s="243"/>
      <c r="K110" s="243"/>
      <c r="L110" s="243"/>
      <c r="M110" s="243"/>
      <c r="N110" s="243"/>
      <c r="O110" s="243"/>
      <c r="P110" s="244"/>
      <c r="Q110" s="244"/>
      <c r="R110" s="244"/>
      <c r="S110" s="244"/>
      <c r="T110" s="244"/>
      <c r="U110" s="244"/>
    </row>
    <row r="111" spans="1:21" ht="12.75">
      <c r="A111" s="243"/>
      <c r="B111" s="242"/>
      <c r="C111" s="243"/>
      <c r="D111" s="243"/>
      <c r="E111" s="243"/>
      <c r="F111" s="243"/>
      <c r="G111" s="243"/>
      <c r="H111" s="243"/>
      <c r="I111" s="243"/>
      <c r="J111" s="243"/>
      <c r="K111" s="243"/>
      <c r="L111" s="243"/>
      <c r="M111" s="243"/>
      <c r="N111" s="243"/>
      <c r="O111" s="243"/>
      <c r="P111" s="244"/>
      <c r="Q111" s="244"/>
      <c r="R111" s="244"/>
      <c r="S111" s="244"/>
      <c r="T111" s="244"/>
      <c r="U111" s="244"/>
    </row>
    <row r="112" spans="1:21" ht="12.75">
      <c r="A112" s="243"/>
      <c r="B112" s="242"/>
      <c r="C112" s="243"/>
      <c r="D112" s="243"/>
      <c r="E112" s="243"/>
      <c r="F112" s="243"/>
      <c r="G112" s="243"/>
      <c r="H112" s="243"/>
      <c r="I112" s="243"/>
      <c r="J112" s="243"/>
      <c r="K112" s="243"/>
      <c r="L112" s="243"/>
      <c r="M112" s="243"/>
      <c r="N112" s="243"/>
      <c r="O112" s="243"/>
      <c r="P112" s="244"/>
      <c r="Q112" s="244"/>
      <c r="R112" s="244"/>
      <c r="S112" s="244"/>
      <c r="T112" s="244"/>
      <c r="U112" s="244"/>
    </row>
    <row r="113" spans="1:21" ht="12.75">
      <c r="A113" s="243"/>
      <c r="B113" s="242"/>
      <c r="C113" s="243"/>
      <c r="D113" s="243"/>
      <c r="E113" s="243"/>
      <c r="F113" s="243"/>
      <c r="G113" s="243"/>
      <c r="H113" s="243"/>
      <c r="I113" s="243"/>
      <c r="J113" s="243"/>
      <c r="K113" s="243"/>
      <c r="L113" s="243"/>
      <c r="M113" s="243"/>
      <c r="N113" s="243"/>
      <c r="O113" s="243"/>
      <c r="P113" s="244"/>
      <c r="Q113" s="244"/>
      <c r="R113" s="244"/>
      <c r="S113" s="244"/>
      <c r="T113" s="244"/>
      <c r="U113" s="244"/>
    </row>
    <row r="114" spans="1:15" ht="12.75">
      <c r="A114" s="251"/>
      <c r="B114" s="242"/>
      <c r="C114" s="251"/>
      <c r="D114" s="251"/>
      <c r="E114" s="251"/>
      <c r="F114" s="251"/>
      <c r="G114" s="251"/>
      <c r="H114" s="251"/>
      <c r="I114" s="251"/>
      <c r="J114" s="251"/>
      <c r="K114" s="251"/>
      <c r="L114" s="251"/>
      <c r="M114" s="251"/>
      <c r="N114" s="251"/>
      <c r="O114" s="251"/>
    </row>
    <row r="115" spans="1:15" ht="12.75">
      <c r="A115" s="251"/>
      <c r="B115" s="242"/>
      <c r="C115" s="251"/>
      <c r="D115" s="251"/>
      <c r="E115" s="251"/>
      <c r="F115" s="251"/>
      <c r="G115" s="251"/>
      <c r="H115" s="251"/>
      <c r="I115" s="251"/>
      <c r="J115" s="251"/>
      <c r="K115" s="251"/>
      <c r="L115" s="251"/>
      <c r="M115" s="251"/>
      <c r="N115" s="251"/>
      <c r="O115" s="251"/>
    </row>
    <row r="116" spans="1:15" ht="12.75">
      <c r="A116" s="251"/>
      <c r="B116" s="242"/>
      <c r="C116" s="251"/>
      <c r="D116" s="251"/>
      <c r="E116" s="251"/>
      <c r="F116" s="251"/>
      <c r="G116" s="251"/>
      <c r="H116" s="251"/>
      <c r="I116" s="251"/>
      <c r="J116" s="251"/>
      <c r="K116" s="251"/>
      <c r="L116" s="251"/>
      <c r="M116" s="251"/>
      <c r="N116" s="251"/>
      <c r="O116" s="251"/>
    </row>
    <row r="117" spans="1:15" ht="12.75">
      <c r="A117" s="251"/>
      <c r="B117" s="242"/>
      <c r="C117" s="251"/>
      <c r="D117" s="251"/>
      <c r="E117" s="251"/>
      <c r="F117" s="251"/>
      <c r="G117" s="251"/>
      <c r="H117" s="251"/>
      <c r="I117" s="251"/>
      <c r="J117" s="251"/>
      <c r="K117" s="251"/>
      <c r="L117" s="251"/>
      <c r="M117" s="251"/>
      <c r="N117" s="251"/>
      <c r="O117" s="251"/>
    </row>
    <row r="118" spans="1:15" ht="12.75">
      <c r="A118" s="251"/>
      <c r="B118" s="242"/>
      <c r="C118" s="251"/>
      <c r="D118" s="251"/>
      <c r="E118" s="251"/>
      <c r="F118" s="251"/>
      <c r="G118" s="251"/>
      <c r="H118" s="251"/>
      <c r="I118" s="251"/>
      <c r="J118" s="251"/>
      <c r="K118" s="251"/>
      <c r="L118" s="251"/>
      <c r="M118" s="251"/>
      <c r="N118" s="251"/>
      <c r="O118" s="251"/>
    </row>
    <row r="119" spans="1:15" ht="12.75">
      <c r="A119" s="251"/>
      <c r="C119" s="251"/>
      <c r="D119" s="251"/>
      <c r="E119" s="251"/>
      <c r="F119" s="251"/>
      <c r="G119" s="251"/>
      <c r="H119" s="251"/>
      <c r="I119" s="251"/>
      <c r="J119" s="251"/>
      <c r="K119" s="251"/>
      <c r="L119" s="251"/>
      <c r="M119" s="251"/>
      <c r="N119" s="251"/>
      <c r="O119" s="251"/>
    </row>
    <row r="120" spans="1:15" ht="12.75">
      <c r="A120" s="251"/>
      <c r="C120" s="251"/>
      <c r="D120" s="251"/>
      <c r="E120" s="251"/>
      <c r="F120" s="251"/>
      <c r="G120" s="251"/>
      <c r="H120" s="251"/>
      <c r="I120" s="251"/>
      <c r="J120" s="251"/>
      <c r="K120" s="251"/>
      <c r="L120" s="251"/>
      <c r="M120" s="251"/>
      <c r="N120" s="251"/>
      <c r="O120" s="251"/>
    </row>
  </sheetData>
  <sheetProtection/>
  <mergeCells count="1">
    <mergeCell ref="B38:B40"/>
  </mergeCells>
  <printOptions horizontalCentered="1"/>
  <pageMargins left="0.25" right="0.25" top="0.75" bottom="0.75" header="0.3" footer="0.3"/>
  <pageSetup blackAndWhite="1" fitToHeight="1" fitToWidth="1" horizontalDpi="600" verticalDpi="600" orientation="landscape" scale="95" r:id="rId1"/>
  <headerFooter alignWithMargins="0">
    <oddFooter>&amp;L&amp;D&amp;CPage &amp;P of &amp;N&amp;RConcept Level Est Form 
Rev. 7/31/2013</oddFooter>
  </headerFooter>
</worksheet>
</file>

<file path=xl/worksheets/sheet10.xml><?xml version="1.0" encoding="utf-8"?>
<worksheet xmlns="http://schemas.openxmlformats.org/spreadsheetml/2006/main" xmlns:r="http://schemas.openxmlformats.org/officeDocument/2006/relationships">
  <sheetPr codeName="Sheet1">
    <pageSetUpPr fitToPage="1"/>
  </sheetPr>
  <dimension ref="B2:AE69"/>
  <sheetViews>
    <sheetView showGridLines="0" view="pageBreakPreview" zoomScale="40" zoomScaleNormal="85" zoomScaleSheetLayoutView="40" zoomScalePageLayoutView="55" workbookViewId="0" topLeftCell="A1">
      <selection activeCell="W58" sqref="W58"/>
    </sheetView>
  </sheetViews>
  <sheetFormatPr defaultColWidth="9.140625" defaultRowHeight="12.75"/>
  <cols>
    <col min="1" max="1" width="2.8515625" style="203" customWidth="1"/>
    <col min="2" max="2" width="41.28125" style="203" customWidth="1"/>
    <col min="3" max="3" width="61.57421875" style="203" bestFit="1" customWidth="1"/>
    <col min="4" max="4" width="13.00390625" style="203" bestFit="1" customWidth="1"/>
    <col min="5" max="5" width="11.57421875" style="203" bestFit="1" customWidth="1"/>
    <col min="6" max="6" width="18.421875" style="203" bestFit="1" customWidth="1"/>
    <col min="7" max="7" width="7.28125" style="203" bestFit="1" customWidth="1"/>
    <col min="8" max="8" width="20.57421875" style="203" bestFit="1" customWidth="1"/>
    <col min="9" max="9" width="27.8515625" style="203" customWidth="1"/>
    <col min="10" max="10" width="26.57421875" style="203" bestFit="1" customWidth="1"/>
    <col min="11" max="11" width="8.421875" style="203" bestFit="1" customWidth="1"/>
    <col min="12" max="12" width="10.421875" style="203" customWidth="1"/>
    <col min="13" max="13" width="14.421875" style="203" bestFit="1" customWidth="1"/>
    <col min="14" max="14" width="1.57421875" style="203" customWidth="1"/>
    <col min="15" max="15" width="13.7109375" style="203" customWidth="1"/>
    <col min="16" max="16" width="9.140625" style="203" customWidth="1"/>
    <col min="17" max="17" width="9.140625" style="203" hidden="1" customWidth="1"/>
    <col min="18" max="16384" width="9.140625" style="203" customWidth="1"/>
  </cols>
  <sheetData>
    <row r="1" ht="12.75"/>
    <row r="2" spans="2:16" ht="25.5">
      <c r="B2" s="900" t="s">
        <v>296</v>
      </c>
      <c r="C2" s="900"/>
      <c r="D2" s="900"/>
      <c r="E2" s="900"/>
      <c r="F2" s="900"/>
      <c r="G2" s="900"/>
      <c r="H2" s="900"/>
      <c r="I2" s="900"/>
      <c r="J2" s="900"/>
      <c r="K2" s="900"/>
      <c r="L2" s="900"/>
      <c r="M2" s="900"/>
      <c r="N2" s="410"/>
      <c r="O2" s="636"/>
      <c r="P2" s="202" t="s">
        <v>135</v>
      </c>
    </row>
    <row r="3" spans="2:31" s="93" customFormat="1" ht="15">
      <c r="B3" s="696" t="str">
        <f>Main!B2</f>
        <v>PROJECT NAME:  </v>
      </c>
      <c r="C3" s="696"/>
      <c r="D3" s="696"/>
      <c r="E3" s="696"/>
      <c r="F3" s="696"/>
      <c r="G3" s="696"/>
      <c r="H3" s="696"/>
      <c r="I3" s="696"/>
      <c r="J3" s="696"/>
      <c r="K3" s="696"/>
      <c r="L3" s="696"/>
      <c r="M3" s="696"/>
      <c r="N3" s="406"/>
      <c r="O3" s="387"/>
      <c r="P3" s="387"/>
      <c r="Q3" s="387"/>
      <c r="R3" s="387"/>
      <c r="S3" s="387"/>
      <c r="T3" s="387"/>
      <c r="U3" s="387"/>
      <c r="V3" s="387"/>
      <c r="W3" s="387"/>
      <c r="X3" s="387"/>
      <c r="Y3" s="387"/>
      <c r="Z3" s="387"/>
      <c r="AA3" s="387"/>
      <c r="AB3" s="387"/>
      <c r="AC3" s="387"/>
      <c r="AD3" s="387"/>
      <c r="AE3" s="387"/>
    </row>
    <row r="4" ht="12.75"/>
    <row r="5" spans="2:14" ht="32.25" customHeight="1" thickBot="1">
      <c r="B5" s="204" t="s">
        <v>297</v>
      </c>
      <c r="C5" s="204" t="s">
        <v>213</v>
      </c>
      <c r="D5" s="204" t="s">
        <v>5</v>
      </c>
      <c r="E5" s="204" t="s">
        <v>92</v>
      </c>
      <c r="F5" s="204" t="s">
        <v>93</v>
      </c>
      <c r="G5" s="205"/>
      <c r="H5" s="206" t="s">
        <v>214</v>
      </c>
      <c r="I5" s="206" t="s">
        <v>215</v>
      </c>
      <c r="J5" s="206" t="s">
        <v>298</v>
      </c>
      <c r="K5" s="912" t="s">
        <v>9</v>
      </c>
      <c r="L5" s="912"/>
      <c r="M5" s="912"/>
      <c r="N5" s="411"/>
    </row>
    <row r="6" spans="2:14" ht="26.25" customHeight="1" thickBot="1">
      <c r="B6" s="48" t="s">
        <v>216</v>
      </c>
      <c r="C6" s="49" t="s">
        <v>217</v>
      </c>
      <c r="D6" s="60">
        <v>1</v>
      </c>
      <c r="E6" s="49" t="s">
        <v>13</v>
      </c>
      <c r="F6" s="85">
        <f>J32+J38</f>
        <v>0</v>
      </c>
      <c r="G6" s="49" t="s">
        <v>218</v>
      </c>
      <c r="H6" s="81">
        <f aca="true" t="shared" si="0" ref="H6:H16">D6*F6</f>
        <v>0</v>
      </c>
      <c r="I6" s="636">
        <v>0.75</v>
      </c>
      <c r="J6" s="81">
        <f aca="true" t="shared" si="1" ref="J6:J14">H6*I6</f>
        <v>0</v>
      </c>
      <c r="K6" s="901" t="s">
        <v>219</v>
      </c>
      <c r="L6" s="902"/>
      <c r="M6" s="903"/>
      <c r="N6" s="208"/>
    </row>
    <row r="7" spans="2:14" ht="26.25" customHeight="1" thickBot="1">
      <c r="B7" s="48" t="s">
        <v>220</v>
      </c>
      <c r="C7" s="49" t="s">
        <v>221</v>
      </c>
      <c r="D7" s="636"/>
      <c r="E7" s="49" t="s">
        <v>223</v>
      </c>
      <c r="F7" s="633"/>
      <c r="G7" s="49" t="s">
        <v>222</v>
      </c>
      <c r="H7" s="81">
        <f>D7*F7</f>
        <v>0</v>
      </c>
      <c r="I7" s="29">
        <v>1</v>
      </c>
      <c r="J7" s="81">
        <f t="shared" si="1"/>
        <v>0</v>
      </c>
      <c r="K7" s="901"/>
      <c r="L7" s="902"/>
      <c r="M7" s="903"/>
      <c r="N7" s="208"/>
    </row>
    <row r="8" spans="2:14" ht="26.25" customHeight="1" thickBot="1">
      <c r="B8" s="48" t="s">
        <v>224</v>
      </c>
      <c r="C8" s="49" t="s">
        <v>225</v>
      </c>
      <c r="D8" s="632"/>
      <c r="E8" s="49" t="s">
        <v>227</v>
      </c>
      <c r="F8" s="633"/>
      <c r="G8" s="49" t="s">
        <v>226</v>
      </c>
      <c r="H8" s="81">
        <f t="shared" si="0"/>
        <v>0</v>
      </c>
      <c r="I8" s="60">
        <v>1</v>
      </c>
      <c r="J8" s="81">
        <f t="shared" si="1"/>
        <v>0</v>
      </c>
      <c r="K8" s="901"/>
      <c r="L8" s="902"/>
      <c r="M8" s="903"/>
      <c r="N8" s="208"/>
    </row>
    <row r="9" spans="2:14" ht="26.25" customHeight="1">
      <c r="B9" s="904" t="s">
        <v>228</v>
      </c>
      <c r="C9" s="50" t="s">
        <v>229</v>
      </c>
      <c r="D9" s="86">
        <f>Assumptions!S38</f>
        <v>0</v>
      </c>
      <c r="E9" s="51" t="s">
        <v>10</v>
      </c>
      <c r="F9" s="633">
        <v>1.5</v>
      </c>
      <c r="G9" s="51" t="s">
        <v>230</v>
      </c>
      <c r="H9" s="82">
        <f>IF(D9&lt;500,0,D9*F9)</f>
        <v>0</v>
      </c>
      <c r="I9" s="636">
        <v>0.85</v>
      </c>
      <c r="J9" s="82">
        <f>H9*I9</f>
        <v>0</v>
      </c>
      <c r="K9" s="906" t="s">
        <v>231</v>
      </c>
      <c r="L9" s="907"/>
      <c r="M9" s="908"/>
      <c r="N9" s="208"/>
    </row>
    <row r="10" spans="2:14" ht="26.25" customHeight="1" thickBot="1">
      <c r="B10" s="905"/>
      <c r="C10" s="52" t="s">
        <v>232</v>
      </c>
      <c r="D10" s="87">
        <f>Assumptions!D28*Assumptions!R10*Assumptions!Q28+Assumptions!D29*Assumptions!R11*Assumptions!Q29+Assumptions!D30*Assumptions!R12*Assumptions!Q30+Assumptions!D31*Assumptions!R13*Assumptions!Q31+Assumptions!D32*Assumptions!R14*Assumptions!Q32+Assumptions!D33*Assumptions!R15*Assumptions!Q33+Assumptions!D34*Assumptions!R16*Assumptions!Q34+Assumptions!D35*Assumptions!R17*Assumptions!Q35+Assumptions!D36*Assumptions!R18*Assumptions!Q36+Assumptions!D37*Assumptions!R19*Assumptions!Q37</f>
        <v>0</v>
      </c>
      <c r="E10" s="52" t="s">
        <v>119</v>
      </c>
      <c r="F10" s="633">
        <v>0.2</v>
      </c>
      <c r="G10" s="52" t="s">
        <v>233</v>
      </c>
      <c r="H10" s="83">
        <f>IF(D9&lt;500,0,D10*F10)</f>
        <v>0</v>
      </c>
      <c r="I10" s="636">
        <v>0.85</v>
      </c>
      <c r="J10" s="83">
        <f t="shared" si="1"/>
        <v>0</v>
      </c>
      <c r="K10" s="909" t="s">
        <v>234</v>
      </c>
      <c r="L10" s="910"/>
      <c r="M10" s="911"/>
      <c r="N10" s="208"/>
    </row>
    <row r="11" spans="2:14" ht="26.25" customHeight="1" thickBot="1">
      <c r="B11" s="53" t="s">
        <v>235</v>
      </c>
      <c r="C11" s="54" t="s">
        <v>236</v>
      </c>
      <c r="D11" s="88">
        <f>Assumptions!V38</f>
        <v>0</v>
      </c>
      <c r="E11" s="49" t="s">
        <v>10</v>
      </c>
      <c r="F11" s="633">
        <v>0.91</v>
      </c>
      <c r="G11" s="49" t="s">
        <v>230</v>
      </c>
      <c r="H11" s="81">
        <f t="shared" si="0"/>
        <v>0</v>
      </c>
      <c r="I11" s="636">
        <v>0.85</v>
      </c>
      <c r="J11" s="81">
        <f t="shared" si="1"/>
        <v>0</v>
      </c>
      <c r="K11" s="906" t="s">
        <v>336</v>
      </c>
      <c r="L11" s="907"/>
      <c r="M11" s="908"/>
      <c r="N11" s="208"/>
    </row>
    <row r="12" spans="2:14" ht="26.25" customHeight="1">
      <c r="B12" s="904" t="s">
        <v>237</v>
      </c>
      <c r="C12" s="51" t="s">
        <v>238</v>
      </c>
      <c r="D12" s="86">
        <f>Assumptions!Y38</f>
        <v>0</v>
      </c>
      <c r="E12" s="51" t="s">
        <v>10</v>
      </c>
      <c r="F12" s="633">
        <v>1</v>
      </c>
      <c r="G12" s="51" t="s">
        <v>230</v>
      </c>
      <c r="H12" s="82">
        <f t="shared" si="0"/>
        <v>0</v>
      </c>
      <c r="I12" s="636">
        <v>0.85</v>
      </c>
      <c r="J12" s="82">
        <f t="shared" si="1"/>
        <v>0</v>
      </c>
      <c r="K12" s="906" t="s">
        <v>239</v>
      </c>
      <c r="L12" s="907"/>
      <c r="M12" s="908"/>
      <c r="N12" s="208"/>
    </row>
    <row r="13" spans="2:14" ht="26.25" customHeight="1" thickBot="1">
      <c r="B13" s="905"/>
      <c r="C13" s="52" t="s">
        <v>240</v>
      </c>
      <c r="D13" s="87">
        <f>Assumptions!X38</f>
        <v>0</v>
      </c>
      <c r="E13" s="52" t="s">
        <v>10</v>
      </c>
      <c r="F13" s="633">
        <v>1.5</v>
      </c>
      <c r="G13" s="52" t="s">
        <v>230</v>
      </c>
      <c r="H13" s="83">
        <f t="shared" si="0"/>
        <v>0</v>
      </c>
      <c r="I13" s="636">
        <v>0.85</v>
      </c>
      <c r="J13" s="83">
        <f t="shared" si="1"/>
        <v>0</v>
      </c>
      <c r="K13" s="909" t="s">
        <v>231</v>
      </c>
      <c r="L13" s="910"/>
      <c r="M13" s="911"/>
      <c r="N13" s="208"/>
    </row>
    <row r="14" spans="2:14" ht="26.25" customHeight="1">
      <c r="B14" s="913" t="s">
        <v>241</v>
      </c>
      <c r="C14" s="50" t="s">
        <v>242</v>
      </c>
      <c r="D14" s="86">
        <f>Assumptions!Z38</f>
        <v>0</v>
      </c>
      <c r="E14" s="51" t="s">
        <v>244</v>
      </c>
      <c r="F14" s="633">
        <v>0.05</v>
      </c>
      <c r="G14" s="51" t="s">
        <v>243</v>
      </c>
      <c r="H14" s="82">
        <f t="shared" si="0"/>
        <v>0</v>
      </c>
      <c r="I14" s="636">
        <v>0.85</v>
      </c>
      <c r="J14" s="82">
        <f t="shared" si="1"/>
        <v>0</v>
      </c>
      <c r="K14" s="906" t="s">
        <v>245</v>
      </c>
      <c r="L14" s="907"/>
      <c r="M14" s="908"/>
      <c r="N14" s="208"/>
    </row>
    <row r="15" spans="2:14" ht="26.25" customHeight="1" thickBot="1">
      <c r="B15" s="914"/>
      <c r="C15" s="55" t="s">
        <v>246</v>
      </c>
      <c r="D15" s="87">
        <f>Assumptions!Z38</f>
        <v>0</v>
      </c>
      <c r="E15" s="52" t="s">
        <v>244</v>
      </c>
      <c r="F15" s="633">
        <v>0.04</v>
      </c>
      <c r="G15" s="52" t="s">
        <v>243</v>
      </c>
      <c r="H15" s="83">
        <f>D15*F15</f>
        <v>0</v>
      </c>
      <c r="I15" s="636">
        <v>0.85</v>
      </c>
      <c r="J15" s="83">
        <f>H15*I15</f>
        <v>0</v>
      </c>
      <c r="K15" s="909" t="s">
        <v>247</v>
      </c>
      <c r="L15" s="910"/>
      <c r="M15" s="911"/>
      <c r="N15" s="208"/>
    </row>
    <row r="16" spans="2:14" ht="26.25" customHeight="1" thickBot="1">
      <c r="B16" s="53" t="s">
        <v>21</v>
      </c>
      <c r="C16" s="49" t="s">
        <v>248</v>
      </c>
      <c r="D16" s="60">
        <v>1</v>
      </c>
      <c r="E16" s="49" t="s">
        <v>13</v>
      </c>
      <c r="F16" s="633">
        <v>0</v>
      </c>
      <c r="G16" s="49" t="s">
        <v>218</v>
      </c>
      <c r="H16" s="81">
        <f t="shared" si="0"/>
        <v>0</v>
      </c>
      <c r="I16" s="60">
        <v>1</v>
      </c>
      <c r="J16" s="81">
        <f>H16*I16</f>
        <v>0</v>
      </c>
      <c r="K16" s="901"/>
      <c r="L16" s="902"/>
      <c r="M16" s="903"/>
      <c r="N16" s="208"/>
    </row>
    <row r="17" spans="9:10" ht="26.25" customHeight="1" thickBot="1">
      <c r="I17" s="57" t="s">
        <v>299</v>
      </c>
      <c r="J17" s="84">
        <f>SUM(J6:J16)</f>
        <v>0</v>
      </c>
    </row>
    <row r="18" ht="13.5" customHeight="1">
      <c r="I18" s="57"/>
    </row>
    <row r="19" ht="13.5" customHeight="1" thickBot="1">
      <c r="I19" s="57"/>
    </row>
    <row r="20" spans="4:14" ht="16.5" customHeight="1" thickBot="1">
      <c r="D20" s="971" t="s">
        <v>249</v>
      </c>
      <c r="E20" s="972"/>
      <c r="F20" s="972"/>
      <c r="G20" s="972"/>
      <c r="H20" s="972"/>
      <c r="I20" s="972"/>
      <c r="J20" s="972"/>
      <c r="K20" s="972"/>
      <c r="L20" s="972"/>
      <c r="M20" s="973"/>
      <c r="N20" s="413"/>
    </row>
    <row r="21" spans="4:14" ht="14.25" customHeight="1" thickBot="1" thickTop="1">
      <c r="D21" s="207"/>
      <c r="E21" s="208"/>
      <c r="F21" s="208"/>
      <c r="G21" s="208"/>
      <c r="H21" s="208"/>
      <c r="I21" s="209"/>
      <c r="J21" s="208"/>
      <c r="K21" s="208"/>
      <c r="L21" s="208"/>
      <c r="M21" s="210"/>
      <c r="N21" s="208"/>
    </row>
    <row r="22" spans="4:14" ht="13.5" thickBot="1">
      <c r="D22" s="915" t="s">
        <v>250</v>
      </c>
      <c r="E22" s="916"/>
      <c r="F22" s="917"/>
      <c r="G22" s="211"/>
      <c r="H22" s="208"/>
      <c r="I22" s="208"/>
      <c r="J22" s="208"/>
      <c r="K22" s="208"/>
      <c r="L22" s="208"/>
      <c r="M22" s="210"/>
      <c r="N22" s="208"/>
    </row>
    <row r="23" spans="4:17" ht="15" customHeight="1">
      <c r="D23" s="918" t="s">
        <v>251</v>
      </c>
      <c r="E23" s="919"/>
      <c r="F23" s="920"/>
      <c r="G23" s="211"/>
      <c r="H23" s="969" t="s">
        <v>252</v>
      </c>
      <c r="I23" s="970"/>
      <c r="J23" s="212">
        <v>1</v>
      </c>
      <c r="K23" s="208"/>
      <c r="L23" s="208"/>
      <c r="M23" s="210"/>
      <c r="N23" s="208"/>
      <c r="Q23" s="203" t="s">
        <v>27</v>
      </c>
    </row>
    <row r="24" spans="4:17" ht="17.25" customHeight="1">
      <c r="D24" s="967" t="s">
        <v>253</v>
      </c>
      <c r="E24" s="213" t="s">
        <v>254</v>
      </c>
      <c r="F24" s="214" t="s">
        <v>251</v>
      </c>
      <c r="G24" s="211"/>
      <c r="H24" s="215"/>
      <c r="I24" s="215"/>
      <c r="J24" s="208"/>
      <c r="K24" s="208"/>
      <c r="L24" s="208"/>
      <c r="M24" s="210"/>
      <c r="N24" s="208"/>
      <c r="Q24" s="203" t="s">
        <v>335</v>
      </c>
    </row>
    <row r="25" spans="4:17" ht="15" customHeight="1">
      <c r="D25" s="968"/>
      <c r="E25" s="213" t="s">
        <v>255</v>
      </c>
      <c r="F25" s="214" t="s">
        <v>256</v>
      </c>
      <c r="G25" s="211"/>
      <c r="H25" s="208"/>
      <c r="I25" s="209" t="s">
        <v>258</v>
      </c>
      <c r="J25" s="636"/>
      <c r="K25" s="208"/>
      <c r="L25" s="208"/>
      <c r="M25" s="210"/>
      <c r="N25" s="208"/>
      <c r="Q25" s="203" t="s">
        <v>77</v>
      </c>
    </row>
    <row r="26" spans="4:17" ht="15" customHeight="1">
      <c r="D26" s="45">
        <v>1</v>
      </c>
      <c r="E26" s="213">
        <v>5</v>
      </c>
      <c r="F26" s="214">
        <v>0.3</v>
      </c>
      <c r="G26" s="211"/>
      <c r="H26" s="208"/>
      <c r="I26" s="208"/>
      <c r="J26" s="208"/>
      <c r="K26" s="208"/>
      <c r="L26" s="208"/>
      <c r="M26" s="210"/>
      <c r="N26" s="208"/>
      <c r="Q26" s="203" t="s">
        <v>257</v>
      </c>
    </row>
    <row r="27" spans="4:17" ht="15" customHeight="1" thickBot="1">
      <c r="D27" s="216">
        <v>2</v>
      </c>
      <c r="E27" s="217">
        <v>7</v>
      </c>
      <c r="F27" s="218">
        <v>0.3</v>
      </c>
      <c r="G27" s="211"/>
      <c r="H27" s="208"/>
      <c r="I27" s="323" t="s">
        <v>259</v>
      </c>
      <c r="J27" s="208"/>
      <c r="K27" s="208"/>
      <c r="L27" s="208"/>
      <c r="M27" s="210"/>
      <c r="N27" s="208"/>
      <c r="Q27" s="203" t="s">
        <v>300</v>
      </c>
    </row>
    <row r="28" spans="4:14" ht="15" customHeight="1" thickBot="1">
      <c r="D28" s="219"/>
      <c r="E28" s="220"/>
      <c r="F28" s="220"/>
      <c r="G28" s="211"/>
      <c r="H28" s="208"/>
      <c r="I28" s="915" t="s">
        <v>261</v>
      </c>
      <c r="J28" s="916"/>
      <c r="K28" s="917"/>
      <c r="L28" s="208"/>
      <c r="M28" s="224" t="str">
        <f>IF(J23=4,"PCCP Cost",IF(J23=3,"OGSC Cost","HMA Cost"))</f>
        <v>HMA Cost</v>
      </c>
      <c r="N28" s="414"/>
    </row>
    <row r="29" spans="4:14" ht="15" customHeight="1" thickBot="1">
      <c r="D29" s="915" t="s">
        <v>260</v>
      </c>
      <c r="E29" s="916"/>
      <c r="F29" s="916"/>
      <c r="G29" s="917"/>
      <c r="H29" s="211"/>
      <c r="I29" s="221" t="s">
        <v>31</v>
      </c>
      <c r="J29" s="222">
        <f>Main!E12</f>
        <v>0</v>
      </c>
      <c r="K29" s="210" t="s">
        <v>51</v>
      </c>
      <c r="L29" s="208"/>
      <c r="M29" s="228">
        <f>IF(J23=4,'PI-Roadway-Drainage'!G30,IF(J23=3,'PI-Roadway-Drainage'!G36,'PI-Roadway-Drainage'!G27))</f>
      </c>
      <c r="N29" s="415"/>
    </row>
    <row r="30" spans="4:14" ht="15" customHeight="1" thickBot="1">
      <c r="D30" s="918" t="s">
        <v>261</v>
      </c>
      <c r="E30" s="919"/>
      <c r="F30" s="919"/>
      <c r="G30" s="920"/>
      <c r="H30" s="211"/>
      <c r="I30" s="221" t="s">
        <v>263</v>
      </c>
      <c r="J30" s="636"/>
      <c r="K30" s="210"/>
      <c r="L30" s="211"/>
      <c r="M30" s="233" t="e">
        <f>IF(J23=4,J38/M29,J32/M29)</f>
        <v>#VALUE!</v>
      </c>
      <c r="N30" s="416"/>
    </row>
    <row r="31" spans="4:14" ht="15" customHeight="1" thickBot="1">
      <c r="D31" s="223" t="s">
        <v>253</v>
      </c>
      <c r="E31" s="921" t="s">
        <v>262</v>
      </c>
      <c r="F31" s="922"/>
      <c r="G31" s="923"/>
      <c r="H31" s="211"/>
      <c r="I31" s="225" t="s">
        <v>265</v>
      </c>
      <c r="J31" s="226">
        <f>IF(J29*5280&lt;1000,0,VLOOKUP(J25,D26:F27,2))</f>
        <v>0</v>
      </c>
      <c r="K31" s="227" t="s">
        <v>266</v>
      </c>
      <c r="L31" s="211"/>
      <c r="M31" s="210"/>
      <c r="N31" s="208"/>
    </row>
    <row r="32" spans="4:14" ht="15" customHeight="1" thickBot="1" thickTop="1">
      <c r="D32" s="223">
        <v>1</v>
      </c>
      <c r="E32" s="921" t="s">
        <v>264</v>
      </c>
      <c r="F32" s="922"/>
      <c r="G32" s="923"/>
      <c r="H32" s="211"/>
      <c r="I32" s="230" t="s">
        <v>213</v>
      </c>
      <c r="J32" s="231">
        <f>IF(OR(J23=2,J23=3,J23=5),IF(J25=1,150*J31*(J29*J30)*10,IF(J25=2,100*J31*(J29*J30)*10,0)),0)</f>
        <v>0</v>
      </c>
      <c r="K32" s="232"/>
      <c r="L32" s="211"/>
      <c r="M32" s="210"/>
      <c r="N32" s="208"/>
    </row>
    <row r="33" spans="4:14" ht="15" customHeight="1" thickBot="1">
      <c r="D33" s="229">
        <v>2</v>
      </c>
      <c r="E33" s="924" t="s">
        <v>267</v>
      </c>
      <c r="F33" s="925"/>
      <c r="G33" s="926"/>
      <c r="H33" s="211"/>
      <c r="I33" s="208"/>
      <c r="J33" s="208"/>
      <c r="K33" s="208"/>
      <c r="L33" s="211"/>
      <c r="M33" s="210"/>
      <c r="N33" s="208"/>
    </row>
    <row r="34" spans="4:14" ht="15" customHeight="1" thickBot="1">
      <c r="D34" s="234"/>
      <c r="E34" s="235"/>
      <c r="F34" s="235"/>
      <c r="G34" s="235"/>
      <c r="H34" s="211"/>
      <c r="I34" s="915" t="s">
        <v>269</v>
      </c>
      <c r="J34" s="916"/>
      <c r="K34" s="917"/>
      <c r="L34" s="211"/>
      <c r="M34" s="210"/>
      <c r="N34" s="208"/>
    </row>
    <row r="35" spans="4:14" ht="15" customHeight="1" thickBot="1">
      <c r="D35" s="915" t="s">
        <v>268</v>
      </c>
      <c r="E35" s="916"/>
      <c r="F35" s="916"/>
      <c r="G35" s="917"/>
      <c r="H35" s="211"/>
      <c r="I35" s="221" t="s">
        <v>31</v>
      </c>
      <c r="J35" s="222">
        <f>Main!E12</f>
        <v>0</v>
      </c>
      <c r="K35" s="210" t="s">
        <v>51</v>
      </c>
      <c r="L35" s="211"/>
      <c r="M35" s="210"/>
      <c r="N35" s="208"/>
    </row>
    <row r="36" spans="4:14" ht="15" customHeight="1">
      <c r="D36" s="918" t="s">
        <v>269</v>
      </c>
      <c r="E36" s="919"/>
      <c r="F36" s="919"/>
      <c r="G36" s="920"/>
      <c r="H36" s="211"/>
      <c r="I36" s="221" t="s">
        <v>263</v>
      </c>
      <c r="J36" s="636"/>
      <c r="K36" s="210"/>
      <c r="L36" s="211"/>
      <c r="M36" s="210"/>
      <c r="N36" s="208"/>
    </row>
    <row r="37" spans="4:14" ht="15" customHeight="1" thickBot="1">
      <c r="D37" s="223" t="s">
        <v>253</v>
      </c>
      <c r="E37" s="921" t="s">
        <v>262</v>
      </c>
      <c r="F37" s="922"/>
      <c r="G37" s="923"/>
      <c r="H37" s="211"/>
      <c r="I37" s="225" t="s">
        <v>265</v>
      </c>
      <c r="J37" s="226">
        <f>IF(J35*5280&lt;1000,0,VLOOKUP(J25,D26:F27,2))</f>
        <v>0</v>
      </c>
      <c r="K37" s="227" t="s">
        <v>266</v>
      </c>
      <c r="L37" s="208"/>
      <c r="M37" s="210"/>
      <c r="N37" s="208"/>
    </row>
    <row r="38" spans="4:14" ht="15" customHeight="1" thickBot="1" thickTop="1">
      <c r="D38" s="229">
        <v>1</v>
      </c>
      <c r="E38" s="924" t="s">
        <v>270</v>
      </c>
      <c r="F38" s="925"/>
      <c r="G38" s="926"/>
      <c r="H38" s="211"/>
      <c r="I38" s="230" t="s">
        <v>213</v>
      </c>
      <c r="J38" s="231">
        <f>IF(OR(J23=4,J23=5),IF(J25=1,200*J37*(J35*J36)*10,0),0)</f>
        <v>0</v>
      </c>
      <c r="K38" s="232"/>
      <c r="L38" s="208"/>
      <c r="M38" s="210"/>
      <c r="N38" s="208"/>
    </row>
    <row r="39" spans="4:14" ht="15" customHeight="1">
      <c r="D39" s="234"/>
      <c r="E39" s="235"/>
      <c r="F39" s="235"/>
      <c r="G39" s="235"/>
      <c r="H39" s="211"/>
      <c r="L39" s="208"/>
      <c r="M39" s="210"/>
      <c r="N39" s="208"/>
    </row>
    <row r="40" spans="4:14" ht="15" customHeight="1" thickBot="1">
      <c r="D40" s="234"/>
      <c r="E40" s="235"/>
      <c r="F40" s="235"/>
      <c r="G40" s="235"/>
      <c r="H40" s="211"/>
      <c r="I40" s="208"/>
      <c r="J40" s="208"/>
      <c r="K40" s="208"/>
      <c r="L40" s="208"/>
      <c r="M40" s="210"/>
      <c r="N40" s="208"/>
    </row>
    <row r="41" spans="4:14" ht="15" customHeight="1" thickBot="1" thickTop="1">
      <c r="D41" s="207"/>
      <c r="E41" s="927" t="s">
        <v>271</v>
      </c>
      <c r="F41" s="928"/>
      <c r="G41" s="928"/>
      <c r="H41" s="928"/>
      <c r="I41" s="928"/>
      <c r="J41" s="928"/>
      <c r="K41" s="929"/>
      <c r="L41" s="208"/>
      <c r="M41" s="210"/>
      <c r="N41" s="208"/>
    </row>
    <row r="42" spans="4:14" ht="15" customHeight="1" thickBot="1">
      <c r="D42" s="207"/>
      <c r="E42" s="930"/>
      <c r="F42" s="931"/>
      <c r="G42" s="931"/>
      <c r="H42" s="931"/>
      <c r="I42" s="931"/>
      <c r="J42" s="931"/>
      <c r="K42" s="932"/>
      <c r="L42" s="208"/>
      <c r="M42" s="210"/>
      <c r="N42" s="208"/>
    </row>
    <row r="43" spans="4:14" ht="15" customHeight="1" thickBot="1">
      <c r="D43" s="207"/>
      <c r="E43" s="933" t="s">
        <v>272</v>
      </c>
      <c r="F43" s="934"/>
      <c r="G43" s="934"/>
      <c r="H43" s="934"/>
      <c r="I43" s="934"/>
      <c r="J43" s="934"/>
      <c r="K43" s="935"/>
      <c r="L43" s="208"/>
      <c r="M43" s="210"/>
      <c r="N43" s="208"/>
    </row>
    <row r="44" spans="4:14" ht="15" customHeight="1">
      <c r="D44" s="207"/>
      <c r="E44" s="936" t="s">
        <v>273</v>
      </c>
      <c r="F44" s="938" t="s">
        <v>274</v>
      </c>
      <c r="G44" s="939"/>
      <c r="H44" s="939"/>
      <c r="I44" s="939"/>
      <c r="J44" s="939"/>
      <c r="K44" s="940"/>
      <c r="L44" s="208"/>
      <c r="M44" s="210"/>
      <c r="N44" s="208"/>
    </row>
    <row r="45" spans="4:14" ht="15" customHeight="1">
      <c r="D45" s="207"/>
      <c r="E45" s="937"/>
      <c r="F45" s="941" t="s">
        <v>275</v>
      </c>
      <c r="G45" s="942"/>
      <c r="H45" s="942"/>
      <c r="I45" s="942"/>
      <c r="J45" s="942"/>
      <c r="K45" s="943"/>
      <c r="L45" s="208"/>
      <c r="M45" s="210"/>
      <c r="N45" s="208"/>
    </row>
    <row r="46" spans="4:14" ht="15" customHeight="1" thickBot="1">
      <c r="D46" s="207"/>
      <c r="E46" s="46" t="s">
        <v>276</v>
      </c>
      <c r="F46" s="909" t="s">
        <v>277</v>
      </c>
      <c r="G46" s="910"/>
      <c r="H46" s="910"/>
      <c r="I46" s="910"/>
      <c r="J46" s="910"/>
      <c r="K46" s="944"/>
      <c r="L46" s="208"/>
      <c r="M46" s="210"/>
      <c r="N46" s="208"/>
    </row>
    <row r="47" spans="4:14" ht="15" customHeight="1" thickBot="1">
      <c r="D47" s="207"/>
      <c r="E47" s="947"/>
      <c r="F47" s="948"/>
      <c r="G47" s="948"/>
      <c r="H47" s="948"/>
      <c r="I47" s="948"/>
      <c r="J47" s="948"/>
      <c r="K47" s="949"/>
      <c r="L47" s="208"/>
      <c r="M47" s="210"/>
      <c r="N47" s="208"/>
    </row>
    <row r="48" spans="4:14" ht="15" customHeight="1" thickBot="1">
      <c r="D48" s="207"/>
      <c r="E48" s="950" t="s">
        <v>278</v>
      </c>
      <c r="F48" s="951"/>
      <c r="G48" s="951"/>
      <c r="H48" s="951"/>
      <c r="I48" s="951"/>
      <c r="J48" s="951"/>
      <c r="K48" s="952"/>
      <c r="L48" s="208"/>
      <c r="M48" s="210"/>
      <c r="N48" s="208"/>
    </row>
    <row r="49" spans="3:14" ht="37.5" customHeight="1">
      <c r="C49" s="236"/>
      <c r="D49" s="207"/>
      <c r="E49" s="953" t="s">
        <v>279</v>
      </c>
      <c r="F49" s="954"/>
      <c r="G49" s="954"/>
      <c r="H49" s="954"/>
      <c r="I49" s="954"/>
      <c r="J49" s="954"/>
      <c r="K49" s="955"/>
      <c r="L49" s="208"/>
      <c r="M49" s="210"/>
      <c r="N49" s="208"/>
    </row>
    <row r="50" spans="4:14" ht="15" customHeight="1" thickBot="1">
      <c r="D50" s="207"/>
      <c r="E50" s="956" t="s">
        <v>280</v>
      </c>
      <c r="F50" s="957"/>
      <c r="G50" s="957"/>
      <c r="H50" s="957"/>
      <c r="I50" s="957"/>
      <c r="J50" s="957"/>
      <c r="K50" s="958"/>
      <c r="L50" s="208"/>
      <c r="M50" s="210"/>
      <c r="N50" s="208"/>
    </row>
    <row r="51" spans="4:14" ht="15" customHeight="1" thickBot="1">
      <c r="D51" s="207"/>
      <c r="E51" s="947"/>
      <c r="F51" s="948"/>
      <c r="G51" s="948"/>
      <c r="H51" s="948"/>
      <c r="I51" s="948"/>
      <c r="J51" s="948"/>
      <c r="K51" s="949"/>
      <c r="L51" s="208"/>
      <c r="M51" s="210"/>
      <c r="N51" s="208"/>
    </row>
    <row r="52" spans="4:14" ht="15" customHeight="1" thickBot="1">
      <c r="D52" s="207"/>
      <c r="E52" s="959" t="s">
        <v>302</v>
      </c>
      <c r="F52" s="960"/>
      <c r="G52" s="960"/>
      <c r="H52" s="960"/>
      <c r="I52" s="960"/>
      <c r="J52" s="960"/>
      <c r="K52" s="961"/>
      <c r="L52" s="208"/>
      <c r="M52" s="210"/>
      <c r="N52" s="208"/>
    </row>
    <row r="53" spans="4:14" ht="15" customHeight="1" thickBot="1">
      <c r="D53" s="207"/>
      <c r="E53" s="947"/>
      <c r="F53" s="948"/>
      <c r="G53" s="948"/>
      <c r="H53" s="948"/>
      <c r="I53" s="948"/>
      <c r="J53" s="948"/>
      <c r="K53" s="949"/>
      <c r="L53" s="208"/>
      <c r="M53" s="210"/>
      <c r="N53" s="208"/>
    </row>
    <row r="54" spans="4:14" ht="32.25" customHeight="1" thickBot="1">
      <c r="D54" s="207"/>
      <c r="E54" s="959" t="s">
        <v>281</v>
      </c>
      <c r="F54" s="960"/>
      <c r="G54" s="960"/>
      <c r="H54" s="960"/>
      <c r="I54" s="960"/>
      <c r="J54" s="960"/>
      <c r="K54" s="961"/>
      <c r="L54" s="208"/>
      <c r="M54" s="210"/>
      <c r="N54" s="208"/>
    </row>
    <row r="55" spans="4:14" ht="15.75" customHeight="1" thickBot="1">
      <c r="D55" s="207"/>
      <c r="E55" s="974"/>
      <c r="F55" s="975"/>
      <c r="G55" s="975"/>
      <c r="H55" s="975"/>
      <c r="I55" s="975"/>
      <c r="J55" s="975"/>
      <c r="K55" s="976"/>
      <c r="L55" s="208"/>
      <c r="M55" s="210"/>
      <c r="N55" s="208"/>
    </row>
    <row r="56" spans="4:14" ht="15.75" customHeight="1">
      <c r="D56" s="207"/>
      <c r="E56" s="977" t="s">
        <v>282</v>
      </c>
      <c r="F56" s="978"/>
      <c r="G56" s="978"/>
      <c r="H56" s="978"/>
      <c r="I56" s="978"/>
      <c r="J56" s="978"/>
      <c r="K56" s="979"/>
      <c r="L56" s="208"/>
      <c r="M56" s="210"/>
      <c r="N56" s="208"/>
    </row>
    <row r="57" spans="4:14" ht="12.75">
      <c r="D57" s="207"/>
      <c r="E57" s="47">
        <v>1</v>
      </c>
      <c r="F57" s="945" t="s">
        <v>283</v>
      </c>
      <c r="G57" s="945"/>
      <c r="H57" s="945"/>
      <c r="I57" s="945"/>
      <c r="J57" s="945"/>
      <c r="K57" s="946"/>
      <c r="L57" s="208"/>
      <c r="M57" s="210"/>
      <c r="N57" s="208"/>
    </row>
    <row r="58" spans="4:14" ht="15.75" customHeight="1">
      <c r="D58" s="207"/>
      <c r="E58" s="47">
        <v>2</v>
      </c>
      <c r="F58" s="945" t="s">
        <v>284</v>
      </c>
      <c r="G58" s="945"/>
      <c r="H58" s="945"/>
      <c r="I58" s="945"/>
      <c r="J58" s="945"/>
      <c r="K58" s="946"/>
      <c r="L58" s="208"/>
      <c r="M58" s="210"/>
      <c r="N58" s="208"/>
    </row>
    <row r="59" spans="4:14" ht="12.75">
      <c r="D59" s="207"/>
      <c r="E59" s="47">
        <v>3</v>
      </c>
      <c r="F59" s="945" t="s">
        <v>285</v>
      </c>
      <c r="G59" s="945"/>
      <c r="H59" s="945"/>
      <c r="I59" s="945"/>
      <c r="J59" s="945"/>
      <c r="K59" s="946"/>
      <c r="L59" s="179"/>
      <c r="M59" s="210"/>
      <c r="N59" s="208"/>
    </row>
    <row r="60" spans="4:14" ht="12.75">
      <c r="D60" s="207"/>
      <c r="E60" s="47">
        <v>4</v>
      </c>
      <c r="F60" s="945" t="s">
        <v>286</v>
      </c>
      <c r="G60" s="945"/>
      <c r="H60" s="945"/>
      <c r="I60" s="945"/>
      <c r="J60" s="945"/>
      <c r="K60" s="946"/>
      <c r="L60" s="208"/>
      <c r="M60" s="210"/>
      <c r="N60" s="208"/>
    </row>
    <row r="61" spans="4:14" ht="12.75">
      <c r="D61" s="207"/>
      <c r="E61" s="47">
        <v>5</v>
      </c>
      <c r="F61" s="945" t="s">
        <v>287</v>
      </c>
      <c r="G61" s="945"/>
      <c r="H61" s="945"/>
      <c r="I61" s="945"/>
      <c r="J61" s="945"/>
      <c r="K61" s="946"/>
      <c r="L61" s="208"/>
      <c r="M61" s="210"/>
      <c r="N61" s="208"/>
    </row>
    <row r="62" spans="4:14" ht="12.75">
      <c r="D62" s="207"/>
      <c r="E62" s="237"/>
      <c r="F62" s="208"/>
      <c r="G62" s="208"/>
      <c r="H62" s="208"/>
      <c r="I62" s="208"/>
      <c r="J62" s="208"/>
      <c r="K62" s="238"/>
      <c r="L62" s="208"/>
      <c r="M62" s="210"/>
      <c r="N62" s="208"/>
    </row>
    <row r="63" spans="4:14" ht="12.75">
      <c r="D63" s="207"/>
      <c r="E63" s="964" t="s">
        <v>288</v>
      </c>
      <c r="F63" s="945"/>
      <c r="G63" s="945"/>
      <c r="H63" s="945"/>
      <c r="I63" s="945"/>
      <c r="J63" s="945"/>
      <c r="K63" s="946"/>
      <c r="L63" s="208"/>
      <c r="M63" s="210"/>
      <c r="N63" s="208"/>
    </row>
    <row r="64" spans="4:14" ht="12.75">
      <c r="D64" s="207"/>
      <c r="E64" s="47">
        <v>1</v>
      </c>
      <c r="F64" s="945" t="s">
        <v>289</v>
      </c>
      <c r="G64" s="945"/>
      <c r="H64" s="945"/>
      <c r="I64" s="945"/>
      <c r="J64" s="945"/>
      <c r="K64" s="946"/>
      <c r="L64" s="208"/>
      <c r="M64" s="210"/>
      <c r="N64" s="208"/>
    </row>
    <row r="65" spans="4:14" ht="12.75">
      <c r="D65" s="207"/>
      <c r="E65" s="47">
        <v>2</v>
      </c>
      <c r="F65" s="945" t="s">
        <v>290</v>
      </c>
      <c r="G65" s="945"/>
      <c r="H65" s="945"/>
      <c r="I65" s="945"/>
      <c r="J65" s="945"/>
      <c r="K65" s="946"/>
      <c r="L65" s="208"/>
      <c r="M65" s="210"/>
      <c r="N65" s="208"/>
    </row>
    <row r="66" spans="4:14" ht="12.75">
      <c r="D66" s="207"/>
      <c r="E66" s="47">
        <v>3</v>
      </c>
      <c r="F66" s="945" t="s">
        <v>291</v>
      </c>
      <c r="G66" s="945"/>
      <c r="H66" s="945"/>
      <c r="I66" s="945"/>
      <c r="J66" s="945"/>
      <c r="K66" s="946"/>
      <c r="L66" s="208"/>
      <c r="M66" s="210"/>
      <c r="N66" s="208"/>
    </row>
    <row r="67" spans="4:14" ht="28.5" customHeight="1">
      <c r="D67" s="207"/>
      <c r="E67" s="47">
        <v>4</v>
      </c>
      <c r="F67" s="965" t="s">
        <v>292</v>
      </c>
      <c r="G67" s="965"/>
      <c r="H67" s="965"/>
      <c r="I67" s="965"/>
      <c r="J67" s="965"/>
      <c r="K67" s="966"/>
      <c r="L67" s="208"/>
      <c r="M67" s="210"/>
      <c r="N67" s="208"/>
    </row>
    <row r="68" spans="4:14" ht="12.75">
      <c r="D68" s="207"/>
      <c r="E68" s="47">
        <v>5</v>
      </c>
      <c r="F68" s="945" t="s">
        <v>293</v>
      </c>
      <c r="G68" s="945"/>
      <c r="H68" s="945"/>
      <c r="I68" s="945"/>
      <c r="J68" s="945"/>
      <c r="K68" s="946"/>
      <c r="L68" s="208"/>
      <c r="M68" s="210"/>
      <c r="N68" s="208"/>
    </row>
    <row r="69" spans="4:14" ht="13.5" thickBot="1">
      <c r="D69" s="239"/>
      <c r="E69" s="56">
        <v>6</v>
      </c>
      <c r="F69" s="962" t="s">
        <v>294</v>
      </c>
      <c r="G69" s="962"/>
      <c r="H69" s="962"/>
      <c r="I69" s="962"/>
      <c r="J69" s="962"/>
      <c r="K69" s="963"/>
      <c r="L69" s="240"/>
      <c r="M69" s="232"/>
      <c r="N69" s="208"/>
    </row>
  </sheetData>
  <sheetProtection insertRows="0" deleteRows="0"/>
  <mergeCells count="62">
    <mergeCell ref="D24:D25"/>
    <mergeCell ref="H23:I23"/>
    <mergeCell ref="D23:F23"/>
    <mergeCell ref="D22:F22"/>
    <mergeCell ref="D20:M20"/>
    <mergeCell ref="F59:K59"/>
    <mergeCell ref="E55:K55"/>
    <mergeCell ref="E52:K52"/>
    <mergeCell ref="E53:K53"/>
    <mergeCell ref="E56:K56"/>
    <mergeCell ref="F60:K60"/>
    <mergeCell ref="F68:K68"/>
    <mergeCell ref="F69:K69"/>
    <mergeCell ref="F61:K61"/>
    <mergeCell ref="E63:K63"/>
    <mergeCell ref="F64:K64"/>
    <mergeCell ref="F65:K65"/>
    <mergeCell ref="F66:K66"/>
    <mergeCell ref="F67:K67"/>
    <mergeCell ref="F57:K57"/>
    <mergeCell ref="F58:K58"/>
    <mergeCell ref="E47:K47"/>
    <mergeCell ref="E48:K48"/>
    <mergeCell ref="E49:K49"/>
    <mergeCell ref="E50:K50"/>
    <mergeCell ref="E51:K51"/>
    <mergeCell ref="E54:K54"/>
    <mergeCell ref="E42:K42"/>
    <mergeCell ref="E43:K43"/>
    <mergeCell ref="E44:E45"/>
    <mergeCell ref="F44:K44"/>
    <mergeCell ref="F45:K45"/>
    <mergeCell ref="F46:K46"/>
    <mergeCell ref="D35:G35"/>
    <mergeCell ref="I34:K34"/>
    <mergeCell ref="D36:G36"/>
    <mergeCell ref="E37:G37"/>
    <mergeCell ref="E38:G38"/>
    <mergeCell ref="E41:K41"/>
    <mergeCell ref="D29:G29"/>
    <mergeCell ref="I28:K28"/>
    <mergeCell ref="D30:G30"/>
    <mergeCell ref="E31:G31"/>
    <mergeCell ref="E32:G32"/>
    <mergeCell ref="E33:G33"/>
    <mergeCell ref="K16:M16"/>
    <mergeCell ref="K11:M11"/>
    <mergeCell ref="B12:B13"/>
    <mergeCell ref="K12:M12"/>
    <mergeCell ref="K13:M13"/>
    <mergeCell ref="B14:B15"/>
    <mergeCell ref="K14:M14"/>
    <mergeCell ref="K15:M15"/>
    <mergeCell ref="B2:M2"/>
    <mergeCell ref="K8:M8"/>
    <mergeCell ref="B9:B10"/>
    <mergeCell ref="K9:M9"/>
    <mergeCell ref="K10:M10"/>
    <mergeCell ref="K5:M5"/>
    <mergeCell ref="K6:M6"/>
    <mergeCell ref="K7:M7"/>
    <mergeCell ref="B3:M3"/>
  </mergeCells>
  <printOptions horizontalCentered="1"/>
  <pageMargins left="0.25" right="0.25" top="0.75" bottom="0.75" header="0.3" footer="0.3"/>
  <pageSetup blackAndWhite="1" fitToHeight="2" fitToWidth="1" horizontalDpi="600" verticalDpi="600" orientation="landscape" scale="52" r:id="rId3"/>
  <headerFooter alignWithMargins="0">
    <oddFooter>&amp;L&amp;D&amp;CPage &amp;P of &amp;N&amp;RConcept Level Est Form 
Form 8</oddFooter>
  </headerFooter>
  <legacyDrawing r:id="rId2"/>
</worksheet>
</file>

<file path=xl/worksheets/sheet11.xml><?xml version="1.0" encoding="utf-8"?>
<worksheet xmlns="http://schemas.openxmlformats.org/spreadsheetml/2006/main" xmlns:r="http://schemas.openxmlformats.org/officeDocument/2006/relationships">
  <dimension ref="B2:B2"/>
  <sheetViews>
    <sheetView zoomScalePageLayoutView="0" workbookViewId="0" topLeftCell="A1">
      <selection activeCell="H9" sqref="H9"/>
    </sheetView>
  </sheetViews>
  <sheetFormatPr defaultColWidth="9.140625" defaultRowHeight="12.75"/>
  <sheetData>
    <row r="2" ht="25.5">
      <c r="B2" s="638" t="s">
        <v>2525</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dimension ref="A1:I1116"/>
  <sheetViews>
    <sheetView zoomScale="85" zoomScaleNormal="85" zoomScalePageLayoutView="0" workbookViewId="0" topLeftCell="A1">
      <selection activeCell="A3" sqref="A3"/>
    </sheetView>
  </sheetViews>
  <sheetFormatPr defaultColWidth="9.140625" defaultRowHeight="12.75"/>
  <cols>
    <col min="1" max="1" width="93.7109375" style="0" bestFit="1" customWidth="1"/>
    <col min="2" max="2" width="12.8515625" style="0" bestFit="1" customWidth="1"/>
    <col min="3" max="3" width="8.421875" style="0" bestFit="1" customWidth="1"/>
  </cols>
  <sheetData>
    <row r="1" spans="1:3" ht="15">
      <c r="A1" s="380" t="s">
        <v>367</v>
      </c>
      <c r="B1" s="380" t="s">
        <v>366</v>
      </c>
      <c r="C1" s="380" t="s">
        <v>7</v>
      </c>
    </row>
    <row r="2" spans="1:3" ht="12.75">
      <c r="A2" s="417" t="s">
        <v>369</v>
      </c>
      <c r="B2" s="417" t="s">
        <v>368</v>
      </c>
      <c r="C2" s="417" t="s">
        <v>13</v>
      </c>
    </row>
    <row r="3" spans="1:9" ht="12.75">
      <c r="A3" s="417" t="s">
        <v>203</v>
      </c>
      <c r="B3" s="418" t="s">
        <v>196</v>
      </c>
      <c r="C3" s="417" t="s">
        <v>13</v>
      </c>
      <c r="G3" s="394"/>
      <c r="H3" s="62"/>
      <c r="I3" s="394"/>
    </row>
    <row r="4" spans="1:9" ht="12.75">
      <c r="A4" s="417" t="s">
        <v>204</v>
      </c>
      <c r="B4" s="418" t="s">
        <v>197</v>
      </c>
      <c r="C4" s="417" t="s">
        <v>13</v>
      </c>
      <c r="G4" s="394"/>
      <c r="H4" s="62"/>
      <c r="I4" s="394"/>
    </row>
    <row r="5" spans="1:9" ht="12.75">
      <c r="A5" s="417" t="s">
        <v>205</v>
      </c>
      <c r="B5" s="418" t="s">
        <v>198</v>
      </c>
      <c r="C5" s="417" t="s">
        <v>13</v>
      </c>
      <c r="G5" s="394"/>
      <c r="H5" s="62"/>
      <c r="I5" s="394"/>
    </row>
    <row r="6" spans="1:9" ht="12.75">
      <c r="A6" s="417" t="s">
        <v>206</v>
      </c>
      <c r="B6" s="418" t="s">
        <v>199</v>
      </c>
      <c r="C6" s="417" t="s">
        <v>13</v>
      </c>
      <c r="G6" s="394"/>
      <c r="H6" s="62"/>
      <c r="I6" s="394"/>
    </row>
    <row r="7" spans="1:9" ht="12.75">
      <c r="A7" s="417" t="s">
        <v>202</v>
      </c>
      <c r="B7" s="418" t="s">
        <v>200</v>
      </c>
      <c r="C7" s="417" t="s">
        <v>13</v>
      </c>
      <c r="G7" s="394"/>
      <c r="H7" s="62"/>
      <c r="I7" s="394"/>
    </row>
    <row r="8" spans="1:9" ht="12.75">
      <c r="A8" s="417" t="s">
        <v>201</v>
      </c>
      <c r="B8" s="418" t="s">
        <v>195</v>
      </c>
      <c r="C8" s="417" t="s">
        <v>223</v>
      </c>
      <c r="G8" s="394"/>
      <c r="H8" s="62"/>
      <c r="I8" s="394"/>
    </row>
    <row r="9" spans="1:9" ht="12.75">
      <c r="A9" s="417" t="s">
        <v>125</v>
      </c>
      <c r="B9" s="418" t="s">
        <v>207</v>
      </c>
      <c r="C9" s="417" t="s">
        <v>227</v>
      </c>
      <c r="G9" s="394"/>
      <c r="H9" s="62"/>
      <c r="I9" s="394"/>
    </row>
    <row r="10" spans="1:9" ht="12.75">
      <c r="A10" s="417" t="s">
        <v>209</v>
      </c>
      <c r="B10" s="418" t="s">
        <v>208</v>
      </c>
      <c r="C10" s="417" t="s">
        <v>13</v>
      </c>
      <c r="G10" s="394"/>
      <c r="H10" s="62"/>
      <c r="I10" s="394"/>
    </row>
    <row r="11" spans="1:3" ht="12.75">
      <c r="A11" s="417" t="s">
        <v>371</v>
      </c>
      <c r="B11" s="417" t="s">
        <v>370</v>
      </c>
      <c r="C11" s="417" t="s">
        <v>13</v>
      </c>
    </row>
    <row r="12" spans="1:3" ht="12.75">
      <c r="A12" s="417" t="s">
        <v>374</v>
      </c>
      <c r="B12" s="417" t="s">
        <v>372</v>
      </c>
      <c r="C12" s="417" t="s">
        <v>373</v>
      </c>
    </row>
    <row r="13" spans="1:3" ht="12.75">
      <c r="A13" s="417" t="s">
        <v>376</v>
      </c>
      <c r="B13" s="417" t="s">
        <v>375</v>
      </c>
      <c r="C13" s="417" t="s">
        <v>13</v>
      </c>
    </row>
    <row r="14" spans="1:3" ht="12.75">
      <c r="A14" s="417" t="s">
        <v>378</v>
      </c>
      <c r="B14" s="417" t="s">
        <v>377</v>
      </c>
      <c r="C14" s="417" t="s">
        <v>13</v>
      </c>
    </row>
    <row r="15" spans="1:3" ht="12.75">
      <c r="A15" s="417" t="s">
        <v>3</v>
      </c>
      <c r="B15" s="417" t="s">
        <v>379</v>
      </c>
      <c r="C15" s="417" t="s">
        <v>13</v>
      </c>
    </row>
    <row r="16" spans="1:3" ht="12.75">
      <c r="A16" s="417" t="s">
        <v>41</v>
      </c>
      <c r="B16" s="417" t="s">
        <v>380</v>
      </c>
      <c r="C16" s="417" t="s">
        <v>13</v>
      </c>
    </row>
    <row r="17" spans="1:3" ht="12.75">
      <c r="A17" s="417" t="s">
        <v>0</v>
      </c>
      <c r="B17" s="417" t="s">
        <v>381</v>
      </c>
      <c r="C17" s="417" t="s">
        <v>13</v>
      </c>
    </row>
    <row r="18" spans="1:3" ht="12.75">
      <c r="A18" s="417" t="s">
        <v>84</v>
      </c>
      <c r="B18" s="417" t="s">
        <v>85</v>
      </c>
      <c r="C18" s="417" t="s">
        <v>13</v>
      </c>
    </row>
    <row r="19" spans="1:3" ht="12.75">
      <c r="A19" s="417" t="s">
        <v>383</v>
      </c>
      <c r="B19" s="417" t="s">
        <v>382</v>
      </c>
      <c r="C19" s="417" t="s">
        <v>11</v>
      </c>
    </row>
    <row r="20" spans="1:3" ht="12.75">
      <c r="A20" s="417" t="s">
        <v>386</v>
      </c>
      <c r="B20" s="417" t="s">
        <v>384</v>
      </c>
      <c r="C20" s="417" t="s">
        <v>385</v>
      </c>
    </row>
    <row r="21" spans="1:3" ht="12.75">
      <c r="A21" s="417" t="s">
        <v>388</v>
      </c>
      <c r="B21" s="417" t="s">
        <v>387</v>
      </c>
      <c r="C21" s="417" t="s">
        <v>11</v>
      </c>
    </row>
    <row r="22" spans="1:3" ht="12.75">
      <c r="A22" s="417" t="s">
        <v>310</v>
      </c>
      <c r="B22" s="417" t="s">
        <v>389</v>
      </c>
      <c r="C22" s="417" t="s">
        <v>11</v>
      </c>
    </row>
    <row r="23" spans="1:3" ht="12.75">
      <c r="A23" s="417" t="s">
        <v>391</v>
      </c>
      <c r="B23" s="417" t="s">
        <v>390</v>
      </c>
      <c r="C23" s="417" t="s">
        <v>11</v>
      </c>
    </row>
    <row r="24" spans="1:3" ht="12.75">
      <c r="A24" s="417" t="s">
        <v>393</v>
      </c>
      <c r="B24" s="417" t="s">
        <v>392</v>
      </c>
      <c r="C24" s="417" t="s">
        <v>11</v>
      </c>
    </row>
    <row r="25" spans="1:3" ht="12.75">
      <c r="A25" s="417" t="s">
        <v>395</v>
      </c>
      <c r="B25" s="417" t="s">
        <v>394</v>
      </c>
      <c r="C25" s="417" t="s">
        <v>11</v>
      </c>
    </row>
    <row r="26" spans="1:3" ht="12.75">
      <c r="A26" s="417" t="s">
        <v>397</v>
      </c>
      <c r="B26" s="417" t="s">
        <v>396</v>
      </c>
      <c r="C26" s="417" t="s">
        <v>11</v>
      </c>
    </row>
    <row r="27" spans="1:3" ht="12.75">
      <c r="A27" s="417" t="s">
        <v>399</v>
      </c>
      <c r="B27" s="417" t="s">
        <v>398</v>
      </c>
      <c r="C27" s="417" t="s">
        <v>11</v>
      </c>
    </row>
    <row r="28" spans="1:3" ht="12.75">
      <c r="A28" s="417" t="s">
        <v>401</v>
      </c>
      <c r="B28" s="417" t="s">
        <v>400</v>
      </c>
      <c r="C28" s="417" t="s">
        <v>12</v>
      </c>
    </row>
    <row r="29" spans="1:3" ht="12.75">
      <c r="A29" s="417" t="s">
        <v>403</v>
      </c>
      <c r="B29" s="417" t="s">
        <v>402</v>
      </c>
      <c r="C29" s="417" t="s">
        <v>385</v>
      </c>
    </row>
    <row r="30" spans="1:3" ht="12.75">
      <c r="A30" s="417" t="s">
        <v>405</v>
      </c>
      <c r="B30" s="417" t="s">
        <v>404</v>
      </c>
      <c r="C30" s="417" t="s">
        <v>11</v>
      </c>
    </row>
    <row r="31" spans="1:3" ht="12.75">
      <c r="A31" s="417" t="s">
        <v>407</v>
      </c>
      <c r="B31" s="417" t="s">
        <v>406</v>
      </c>
      <c r="C31" s="417" t="s">
        <v>385</v>
      </c>
    </row>
    <row r="32" spans="1:3" ht="12.75">
      <c r="A32" s="417" t="s">
        <v>410</v>
      </c>
      <c r="B32" s="417" t="s">
        <v>408</v>
      </c>
      <c r="C32" s="417" t="s">
        <v>409</v>
      </c>
    </row>
    <row r="33" spans="1:3" ht="12.75">
      <c r="A33" s="417" t="s">
        <v>412</v>
      </c>
      <c r="B33" s="417" t="s">
        <v>411</v>
      </c>
      <c r="C33" s="417" t="s">
        <v>11</v>
      </c>
    </row>
    <row r="34" spans="1:3" ht="12.75">
      <c r="A34" s="417" t="s">
        <v>414</v>
      </c>
      <c r="B34" s="417" t="s">
        <v>413</v>
      </c>
      <c r="C34" s="417" t="s">
        <v>11</v>
      </c>
    </row>
    <row r="35" spans="1:3" ht="12.75">
      <c r="A35" s="417" t="s">
        <v>416</v>
      </c>
      <c r="B35" s="417" t="s">
        <v>415</v>
      </c>
      <c r="C35" s="417" t="s">
        <v>13</v>
      </c>
    </row>
    <row r="36" spans="1:3" ht="12.75">
      <c r="A36" s="417" t="s">
        <v>418</v>
      </c>
      <c r="B36" s="417" t="s">
        <v>417</v>
      </c>
      <c r="C36" s="417" t="s">
        <v>139</v>
      </c>
    </row>
    <row r="37" spans="1:3" ht="12.75">
      <c r="A37" s="417" t="s">
        <v>420</v>
      </c>
      <c r="B37" s="417" t="s">
        <v>419</v>
      </c>
      <c r="C37" s="417" t="s">
        <v>13</v>
      </c>
    </row>
    <row r="38" spans="1:3" ht="12.75">
      <c r="A38" s="417" t="s">
        <v>422</v>
      </c>
      <c r="B38" s="417" t="s">
        <v>421</v>
      </c>
      <c r="C38" s="417" t="s">
        <v>12</v>
      </c>
    </row>
    <row r="39" spans="1:3" ht="12.75">
      <c r="A39" s="417" t="s">
        <v>424</v>
      </c>
      <c r="B39" s="417" t="s">
        <v>423</v>
      </c>
      <c r="C39" s="417" t="s">
        <v>12</v>
      </c>
    </row>
    <row r="40" spans="1:3" ht="12.75">
      <c r="A40" s="417" t="s">
        <v>426</v>
      </c>
      <c r="B40" s="417" t="s">
        <v>425</v>
      </c>
      <c r="C40" s="417" t="s">
        <v>12</v>
      </c>
    </row>
    <row r="41" spans="1:3" ht="12.75">
      <c r="A41" s="417" t="s">
        <v>428</v>
      </c>
      <c r="B41" s="417" t="s">
        <v>427</v>
      </c>
      <c r="C41" s="417" t="s">
        <v>12</v>
      </c>
    </row>
    <row r="42" spans="1:3" ht="12.75">
      <c r="A42" s="417" t="s">
        <v>430</v>
      </c>
      <c r="B42" s="417" t="s">
        <v>429</v>
      </c>
      <c r="C42" s="417" t="s">
        <v>12</v>
      </c>
    </row>
    <row r="43" spans="1:3" ht="12.75">
      <c r="A43" s="417" t="s">
        <v>432</v>
      </c>
      <c r="B43" s="417" t="s">
        <v>431</v>
      </c>
      <c r="C43" s="417" t="s">
        <v>12</v>
      </c>
    </row>
    <row r="44" spans="1:3" ht="12.75">
      <c r="A44" s="417" t="s">
        <v>434</v>
      </c>
      <c r="B44" s="417" t="s">
        <v>433</v>
      </c>
      <c r="C44" s="417" t="s">
        <v>12</v>
      </c>
    </row>
    <row r="45" spans="1:3" ht="12.75">
      <c r="A45" s="417" t="s">
        <v>436</v>
      </c>
      <c r="B45" s="417" t="s">
        <v>435</v>
      </c>
      <c r="C45" s="417" t="s">
        <v>12</v>
      </c>
    </row>
    <row r="46" spans="1:3" ht="12.75">
      <c r="A46" s="417" t="s">
        <v>438</v>
      </c>
      <c r="B46" s="417" t="s">
        <v>437</v>
      </c>
      <c r="C46" s="417" t="s">
        <v>12</v>
      </c>
    </row>
    <row r="47" spans="1:3" ht="12.75">
      <c r="A47" s="417" t="s">
        <v>86</v>
      </c>
      <c r="B47" s="417" t="s">
        <v>439</v>
      </c>
      <c r="C47" s="417" t="s">
        <v>385</v>
      </c>
    </row>
    <row r="48" spans="1:3" ht="12.75">
      <c r="A48" s="417" t="s">
        <v>37</v>
      </c>
      <c r="B48" s="417" t="s">
        <v>440</v>
      </c>
      <c r="C48" s="417" t="s">
        <v>10</v>
      </c>
    </row>
    <row r="49" spans="1:3" ht="12.75">
      <c r="A49" s="417" t="s">
        <v>87</v>
      </c>
      <c r="B49" s="417" t="s">
        <v>441</v>
      </c>
      <c r="C49" s="417" t="s">
        <v>385</v>
      </c>
    </row>
    <row r="50" spans="1:3" ht="12.75">
      <c r="A50" s="417" t="s">
        <v>42</v>
      </c>
      <c r="B50" s="417" t="s">
        <v>442</v>
      </c>
      <c r="C50" s="417" t="s">
        <v>10</v>
      </c>
    </row>
    <row r="51" spans="1:3" ht="12.75">
      <c r="A51" s="417" t="s">
        <v>88</v>
      </c>
      <c r="B51" s="417" t="s">
        <v>443</v>
      </c>
      <c r="C51" s="417" t="s">
        <v>385</v>
      </c>
    </row>
    <row r="52" spans="1:3" ht="12.75">
      <c r="A52" s="417" t="s">
        <v>445</v>
      </c>
      <c r="B52" s="417" t="s">
        <v>444</v>
      </c>
      <c r="C52" s="417" t="s">
        <v>10</v>
      </c>
    </row>
    <row r="53" spans="1:3" ht="12.75">
      <c r="A53" s="417" t="s">
        <v>447</v>
      </c>
      <c r="B53" s="417" t="s">
        <v>446</v>
      </c>
      <c r="C53" s="417" t="s">
        <v>385</v>
      </c>
    </row>
    <row r="54" spans="1:3" ht="12.75">
      <c r="A54" s="417" t="s">
        <v>449</v>
      </c>
      <c r="B54" s="417" t="s">
        <v>448</v>
      </c>
      <c r="C54" s="417" t="s">
        <v>385</v>
      </c>
    </row>
    <row r="55" spans="1:3" ht="12.75">
      <c r="A55" s="417" t="s">
        <v>451</v>
      </c>
      <c r="B55" s="417" t="s">
        <v>450</v>
      </c>
      <c r="C55" s="417" t="s">
        <v>10</v>
      </c>
    </row>
    <row r="56" spans="1:3" ht="12.75">
      <c r="A56" s="417" t="s">
        <v>453</v>
      </c>
      <c r="B56" s="417" t="s">
        <v>452</v>
      </c>
      <c r="C56" s="417" t="s">
        <v>409</v>
      </c>
    </row>
    <row r="57" spans="1:3" ht="12.75">
      <c r="A57" s="417" t="s">
        <v>455</v>
      </c>
      <c r="B57" s="417" t="s">
        <v>454</v>
      </c>
      <c r="C57" s="417" t="s">
        <v>409</v>
      </c>
    </row>
    <row r="58" spans="1:3" ht="12.75">
      <c r="A58" s="417" t="s">
        <v>457</v>
      </c>
      <c r="B58" s="417" t="s">
        <v>456</v>
      </c>
      <c r="C58" s="417" t="s">
        <v>409</v>
      </c>
    </row>
    <row r="59" spans="1:3" ht="12.75">
      <c r="A59" s="417" t="s">
        <v>459</v>
      </c>
      <c r="B59" s="417" t="s">
        <v>458</v>
      </c>
      <c r="C59" s="417" t="s">
        <v>409</v>
      </c>
    </row>
    <row r="60" spans="1:3" ht="12.75">
      <c r="A60" s="417" t="s">
        <v>461</v>
      </c>
      <c r="B60" s="417" t="s">
        <v>460</v>
      </c>
      <c r="C60" s="417" t="s">
        <v>409</v>
      </c>
    </row>
    <row r="61" spans="1:3" ht="12.75">
      <c r="A61" s="417" t="s">
        <v>463</v>
      </c>
      <c r="B61" s="417" t="s">
        <v>462</v>
      </c>
      <c r="C61" s="417" t="s">
        <v>409</v>
      </c>
    </row>
    <row r="62" spans="1:3" ht="12.75">
      <c r="A62" s="417" t="s">
        <v>465</v>
      </c>
      <c r="B62" s="417" t="s">
        <v>464</v>
      </c>
      <c r="C62" s="417" t="s">
        <v>409</v>
      </c>
    </row>
    <row r="63" spans="1:3" ht="12.75">
      <c r="A63" s="417" t="s">
        <v>467</v>
      </c>
      <c r="B63" s="417" t="s">
        <v>466</v>
      </c>
      <c r="C63" s="417" t="s">
        <v>12</v>
      </c>
    </row>
    <row r="64" spans="1:3" ht="12.75">
      <c r="A64" s="417" t="s">
        <v>469</v>
      </c>
      <c r="B64" s="417" t="s">
        <v>468</v>
      </c>
      <c r="C64" s="417" t="s">
        <v>12</v>
      </c>
    </row>
    <row r="65" spans="1:3" ht="12.75">
      <c r="A65" s="417" t="s">
        <v>95</v>
      </c>
      <c r="B65" s="417" t="s">
        <v>470</v>
      </c>
      <c r="C65" s="417" t="s">
        <v>12</v>
      </c>
    </row>
    <row r="66" spans="1:3" ht="12.75">
      <c r="A66" s="417" t="s">
        <v>473</v>
      </c>
      <c r="B66" s="417" t="s">
        <v>471</v>
      </c>
      <c r="C66" s="417" t="s">
        <v>472</v>
      </c>
    </row>
    <row r="67" spans="1:3" ht="12.75">
      <c r="A67" s="417" t="s">
        <v>475</v>
      </c>
      <c r="B67" s="417" t="s">
        <v>474</v>
      </c>
      <c r="C67" s="417" t="s">
        <v>12</v>
      </c>
    </row>
    <row r="68" spans="1:3" ht="12.75">
      <c r="A68" s="417" t="s">
        <v>477</v>
      </c>
      <c r="B68" s="417" t="s">
        <v>476</v>
      </c>
      <c r="C68" s="417" t="s">
        <v>12</v>
      </c>
    </row>
    <row r="69" spans="1:3" ht="12.75">
      <c r="A69" s="417" t="s">
        <v>473</v>
      </c>
      <c r="B69" s="417" t="s">
        <v>478</v>
      </c>
      <c r="C69" s="417" t="s">
        <v>472</v>
      </c>
    </row>
    <row r="70" spans="1:3" ht="12.75">
      <c r="A70" s="417" t="s">
        <v>480</v>
      </c>
      <c r="B70" s="417" t="s">
        <v>479</v>
      </c>
      <c r="C70" s="417" t="s">
        <v>12</v>
      </c>
    </row>
    <row r="71" spans="1:3" ht="12.75">
      <c r="A71" s="417" t="s">
        <v>482</v>
      </c>
      <c r="B71" s="417" t="s">
        <v>481</v>
      </c>
      <c r="C71" s="417" t="s">
        <v>12</v>
      </c>
    </row>
    <row r="72" spans="1:3" ht="12.75">
      <c r="A72" s="417" t="s">
        <v>473</v>
      </c>
      <c r="B72" s="417" t="s">
        <v>483</v>
      </c>
      <c r="C72" s="417" t="s">
        <v>472</v>
      </c>
    </row>
    <row r="73" spans="1:3" ht="12.75">
      <c r="A73" s="417" t="s">
        <v>485</v>
      </c>
      <c r="B73" s="417" t="s">
        <v>484</v>
      </c>
      <c r="C73" s="417" t="s">
        <v>12</v>
      </c>
    </row>
    <row r="74" spans="1:3" ht="12.75">
      <c r="A74" s="417" t="s">
        <v>487</v>
      </c>
      <c r="B74" s="417" t="s">
        <v>486</v>
      </c>
      <c r="C74" s="417" t="s">
        <v>12</v>
      </c>
    </row>
    <row r="75" spans="1:3" ht="12.75">
      <c r="A75" s="417" t="s">
        <v>473</v>
      </c>
      <c r="B75" s="417" t="s">
        <v>488</v>
      </c>
      <c r="C75" s="417" t="s">
        <v>472</v>
      </c>
    </row>
    <row r="76" spans="1:3" ht="12.75">
      <c r="A76" s="417" t="s">
        <v>490</v>
      </c>
      <c r="B76" s="417" t="s">
        <v>489</v>
      </c>
      <c r="C76" s="417" t="s">
        <v>12</v>
      </c>
    </row>
    <row r="77" spans="1:3" ht="12.75">
      <c r="A77" s="417" t="s">
        <v>492</v>
      </c>
      <c r="B77" s="417" t="s">
        <v>491</v>
      </c>
      <c r="C77" s="417" t="s">
        <v>12</v>
      </c>
    </row>
    <row r="78" spans="1:3" ht="12.75">
      <c r="A78" s="417" t="s">
        <v>494</v>
      </c>
      <c r="B78" s="417" t="s">
        <v>493</v>
      </c>
      <c r="C78" s="417" t="s">
        <v>12</v>
      </c>
    </row>
    <row r="79" spans="1:3" ht="12.75">
      <c r="A79" s="417" t="s">
        <v>496</v>
      </c>
      <c r="B79" s="417" t="s">
        <v>495</v>
      </c>
      <c r="C79" s="417" t="s">
        <v>12</v>
      </c>
    </row>
    <row r="80" spans="1:3" ht="12.75">
      <c r="A80" s="417" t="s">
        <v>498</v>
      </c>
      <c r="B80" s="417" t="s">
        <v>497</v>
      </c>
      <c r="C80" s="417" t="s">
        <v>12</v>
      </c>
    </row>
    <row r="81" spans="1:3" ht="12.75">
      <c r="A81" s="417" t="s">
        <v>500</v>
      </c>
      <c r="B81" s="417" t="s">
        <v>499</v>
      </c>
      <c r="C81" s="417" t="s">
        <v>12</v>
      </c>
    </row>
    <row r="82" spans="1:3" ht="12.75">
      <c r="A82" s="417" t="s">
        <v>473</v>
      </c>
      <c r="B82" s="417" t="s">
        <v>501</v>
      </c>
      <c r="C82" s="417" t="s">
        <v>472</v>
      </c>
    </row>
    <row r="83" spans="1:3" ht="12.75">
      <c r="A83" s="417" t="s">
        <v>503</v>
      </c>
      <c r="B83" s="417" t="s">
        <v>502</v>
      </c>
      <c r="C83" s="417" t="s">
        <v>12</v>
      </c>
    </row>
    <row r="84" spans="1:3" ht="12.75">
      <c r="A84" s="417" t="s">
        <v>505</v>
      </c>
      <c r="B84" s="417" t="s">
        <v>504</v>
      </c>
      <c r="C84" s="417" t="s">
        <v>12</v>
      </c>
    </row>
    <row r="85" spans="1:3" ht="12.75">
      <c r="A85" s="417" t="s">
        <v>473</v>
      </c>
      <c r="B85" s="417" t="s">
        <v>506</v>
      </c>
      <c r="C85" s="417" t="s">
        <v>472</v>
      </c>
    </row>
    <row r="86" spans="1:3" ht="12.75">
      <c r="A86" s="417" t="s">
        <v>508</v>
      </c>
      <c r="B86" s="417" t="s">
        <v>507</v>
      </c>
      <c r="C86" s="417" t="s">
        <v>12</v>
      </c>
    </row>
    <row r="87" spans="1:3" ht="12.75">
      <c r="A87" s="417" t="s">
        <v>510</v>
      </c>
      <c r="B87" s="417" t="s">
        <v>509</v>
      </c>
      <c r="C87" s="417" t="s">
        <v>11</v>
      </c>
    </row>
    <row r="88" spans="1:3" ht="12.75">
      <c r="A88" s="417" t="s">
        <v>473</v>
      </c>
      <c r="B88" s="417" t="s">
        <v>511</v>
      </c>
      <c r="C88" s="417" t="s">
        <v>472</v>
      </c>
    </row>
    <row r="89" spans="1:3" ht="12.75">
      <c r="A89" s="417" t="s">
        <v>52</v>
      </c>
      <c r="B89" s="417" t="s">
        <v>512</v>
      </c>
      <c r="C89" s="417" t="s">
        <v>11</v>
      </c>
    </row>
    <row r="90" spans="1:3" ht="12.75">
      <c r="A90" s="417" t="s">
        <v>514</v>
      </c>
      <c r="B90" s="417" t="s">
        <v>513</v>
      </c>
      <c r="C90" s="417" t="s">
        <v>11</v>
      </c>
    </row>
    <row r="91" spans="1:3" ht="12.75">
      <c r="A91" s="417" t="s">
        <v>473</v>
      </c>
      <c r="B91" s="417" t="s">
        <v>515</v>
      </c>
      <c r="C91" s="417" t="s">
        <v>472</v>
      </c>
    </row>
    <row r="92" spans="1:3" ht="12.75">
      <c r="A92" s="417" t="s">
        <v>517</v>
      </c>
      <c r="B92" s="417" t="s">
        <v>516</v>
      </c>
      <c r="C92" s="417" t="s">
        <v>12</v>
      </c>
    </row>
    <row r="93" spans="1:3" ht="12.75">
      <c r="A93" s="417" t="s">
        <v>49</v>
      </c>
      <c r="B93" s="417" t="s">
        <v>518</v>
      </c>
      <c r="C93" s="417" t="s">
        <v>11</v>
      </c>
    </row>
    <row r="94" spans="1:3" ht="12.75">
      <c r="A94" s="417" t="s">
        <v>473</v>
      </c>
      <c r="B94" s="417" t="s">
        <v>519</v>
      </c>
      <c r="C94" s="417" t="s">
        <v>472</v>
      </c>
    </row>
    <row r="95" spans="1:3" ht="12.75">
      <c r="A95" s="417" t="s">
        <v>521</v>
      </c>
      <c r="B95" s="417" t="s">
        <v>520</v>
      </c>
      <c r="C95" s="417" t="s">
        <v>12</v>
      </c>
    </row>
    <row r="96" spans="1:3" ht="12.75">
      <c r="A96" s="417" t="s">
        <v>523</v>
      </c>
      <c r="B96" s="417" t="s">
        <v>522</v>
      </c>
      <c r="C96" s="417" t="s">
        <v>12</v>
      </c>
    </row>
    <row r="97" spans="1:3" ht="12.75">
      <c r="A97" s="417" t="s">
        <v>473</v>
      </c>
      <c r="B97" s="417" t="s">
        <v>524</v>
      </c>
      <c r="C97" s="417" t="s">
        <v>472</v>
      </c>
    </row>
    <row r="98" spans="1:3" ht="12.75">
      <c r="A98" s="417" t="s">
        <v>526</v>
      </c>
      <c r="B98" s="417" t="s">
        <v>525</v>
      </c>
      <c r="C98" s="417" t="s">
        <v>409</v>
      </c>
    </row>
    <row r="99" spans="1:3" ht="12.75">
      <c r="A99" s="417" t="s">
        <v>528</v>
      </c>
      <c r="B99" s="417" t="s">
        <v>527</v>
      </c>
      <c r="C99" s="417" t="s">
        <v>409</v>
      </c>
    </row>
    <row r="100" spans="1:3" ht="12.75">
      <c r="A100" s="417" t="s">
        <v>473</v>
      </c>
      <c r="B100" s="417" t="s">
        <v>529</v>
      </c>
      <c r="C100" s="417" t="s">
        <v>472</v>
      </c>
    </row>
    <row r="101" spans="1:3" ht="12.75">
      <c r="A101" s="417" t="s">
        <v>531</v>
      </c>
      <c r="B101" s="417" t="s">
        <v>530</v>
      </c>
      <c r="C101" s="417" t="s">
        <v>11</v>
      </c>
    </row>
    <row r="102" spans="1:3" ht="12.75">
      <c r="A102" s="417" t="s">
        <v>533</v>
      </c>
      <c r="B102" s="417" t="s">
        <v>532</v>
      </c>
      <c r="C102" s="417" t="s">
        <v>11</v>
      </c>
    </row>
    <row r="103" spans="1:3" ht="12.75">
      <c r="A103" s="417" t="s">
        <v>535</v>
      </c>
      <c r="B103" s="417" t="s">
        <v>534</v>
      </c>
      <c r="C103" s="417" t="s">
        <v>409</v>
      </c>
    </row>
    <row r="104" spans="1:3" ht="12.75">
      <c r="A104" s="417" t="s">
        <v>473</v>
      </c>
      <c r="B104" s="417" t="s">
        <v>536</v>
      </c>
      <c r="C104" s="417" t="s">
        <v>472</v>
      </c>
    </row>
    <row r="105" spans="1:3" ht="12.75">
      <c r="A105" s="417" t="s">
        <v>538</v>
      </c>
      <c r="B105" s="417" t="s">
        <v>537</v>
      </c>
      <c r="C105" s="417" t="s">
        <v>11</v>
      </c>
    </row>
    <row r="106" spans="1:3" ht="12.75">
      <c r="A106" s="417" t="s">
        <v>540</v>
      </c>
      <c r="B106" s="417" t="s">
        <v>539</v>
      </c>
      <c r="C106" s="417" t="s">
        <v>11</v>
      </c>
    </row>
    <row r="107" spans="1:3" ht="12.75">
      <c r="A107" s="417" t="s">
        <v>473</v>
      </c>
      <c r="B107" s="417" t="s">
        <v>541</v>
      </c>
      <c r="C107" s="417" t="s">
        <v>472</v>
      </c>
    </row>
    <row r="108" spans="1:3" ht="12.75">
      <c r="A108" s="417" t="s">
        <v>543</v>
      </c>
      <c r="B108" s="417" t="s">
        <v>542</v>
      </c>
      <c r="C108" s="417" t="s">
        <v>409</v>
      </c>
    </row>
    <row r="109" spans="1:3" ht="12.75">
      <c r="A109" s="417" t="s">
        <v>543</v>
      </c>
      <c r="B109" s="417" t="s">
        <v>544</v>
      </c>
      <c r="C109" s="417" t="s">
        <v>13</v>
      </c>
    </row>
    <row r="110" spans="1:3" ht="12.75">
      <c r="A110" s="417" t="s">
        <v>473</v>
      </c>
      <c r="B110" s="417" t="s">
        <v>545</v>
      </c>
      <c r="C110" s="417" t="s">
        <v>472</v>
      </c>
    </row>
    <row r="111" spans="1:3" ht="12.75">
      <c r="A111" s="417" t="s">
        <v>547</v>
      </c>
      <c r="B111" s="417" t="s">
        <v>546</v>
      </c>
      <c r="C111" s="417" t="s">
        <v>409</v>
      </c>
    </row>
    <row r="112" spans="1:3" ht="12.75">
      <c r="A112" s="417" t="s">
        <v>549</v>
      </c>
      <c r="B112" s="417" t="s">
        <v>548</v>
      </c>
      <c r="C112" s="417" t="s">
        <v>409</v>
      </c>
    </row>
    <row r="113" spans="1:3" ht="12.75">
      <c r="A113" s="417" t="s">
        <v>473</v>
      </c>
      <c r="B113" s="417" t="s">
        <v>550</v>
      </c>
      <c r="C113" s="417" t="s">
        <v>472</v>
      </c>
    </row>
    <row r="114" spans="1:3" ht="12.75">
      <c r="A114" s="417" t="s">
        <v>549</v>
      </c>
      <c r="B114" s="417" t="s">
        <v>551</v>
      </c>
      <c r="C114" s="417" t="s">
        <v>13</v>
      </c>
    </row>
    <row r="115" spans="1:3" ht="12.75">
      <c r="A115" s="417" t="s">
        <v>553</v>
      </c>
      <c r="B115" s="417" t="s">
        <v>552</v>
      </c>
      <c r="C115" s="417" t="s">
        <v>409</v>
      </c>
    </row>
    <row r="116" spans="1:3" ht="12.75">
      <c r="A116" s="417" t="s">
        <v>473</v>
      </c>
      <c r="B116" s="417" t="s">
        <v>554</v>
      </c>
      <c r="C116" s="417" t="s">
        <v>472</v>
      </c>
    </row>
    <row r="117" spans="1:3" ht="12.75">
      <c r="A117" s="417" t="s">
        <v>556</v>
      </c>
      <c r="B117" s="417" t="s">
        <v>555</v>
      </c>
      <c r="C117" s="417" t="s">
        <v>11</v>
      </c>
    </row>
    <row r="118" spans="1:3" ht="12.75">
      <c r="A118" s="417" t="s">
        <v>558</v>
      </c>
      <c r="B118" s="417" t="s">
        <v>557</v>
      </c>
      <c r="C118" s="417" t="s">
        <v>11</v>
      </c>
    </row>
    <row r="119" spans="1:3" ht="12.75">
      <c r="A119" s="417" t="s">
        <v>473</v>
      </c>
      <c r="B119" s="417" t="s">
        <v>559</v>
      </c>
      <c r="C119" s="417" t="s">
        <v>472</v>
      </c>
    </row>
    <row r="120" spans="1:3" ht="12.75">
      <c r="A120" s="417" t="s">
        <v>561</v>
      </c>
      <c r="B120" s="417" t="s">
        <v>560</v>
      </c>
      <c r="C120" s="417" t="s">
        <v>11</v>
      </c>
    </row>
    <row r="121" spans="1:3" ht="12.75">
      <c r="A121" s="417" t="s">
        <v>473</v>
      </c>
      <c r="B121" s="417" t="s">
        <v>562</v>
      </c>
      <c r="C121" s="417" t="s">
        <v>472</v>
      </c>
    </row>
    <row r="122" spans="1:3" ht="12.75">
      <c r="A122" s="417" t="s">
        <v>473</v>
      </c>
      <c r="B122" s="417" t="s">
        <v>563</v>
      </c>
      <c r="C122" s="417" t="s">
        <v>472</v>
      </c>
    </row>
    <row r="123" spans="1:3" ht="12.75">
      <c r="A123" s="417" t="s">
        <v>473</v>
      </c>
      <c r="B123" s="417" t="s">
        <v>564</v>
      </c>
      <c r="C123" s="417" t="s">
        <v>472</v>
      </c>
    </row>
    <row r="124" spans="1:3" ht="12.75">
      <c r="A124" s="417" t="s">
        <v>473</v>
      </c>
      <c r="B124" s="417" t="s">
        <v>565</v>
      </c>
      <c r="C124" s="417" t="s">
        <v>472</v>
      </c>
    </row>
    <row r="125" spans="1:3" ht="12.75">
      <c r="A125" s="417" t="s">
        <v>473</v>
      </c>
      <c r="B125" s="417" t="s">
        <v>566</v>
      </c>
      <c r="C125" s="417" t="s">
        <v>472</v>
      </c>
    </row>
    <row r="126" spans="1:3" ht="12.75">
      <c r="A126" s="417" t="s">
        <v>473</v>
      </c>
      <c r="B126" s="417" t="s">
        <v>567</v>
      </c>
      <c r="C126" s="417" t="s">
        <v>472</v>
      </c>
    </row>
    <row r="127" spans="1:3" ht="12.75">
      <c r="A127" s="417" t="s">
        <v>473</v>
      </c>
      <c r="B127" s="417" t="s">
        <v>568</v>
      </c>
      <c r="C127" s="417" t="s">
        <v>472</v>
      </c>
    </row>
    <row r="128" spans="1:3" ht="12.75">
      <c r="A128" s="417" t="s">
        <v>473</v>
      </c>
      <c r="B128" s="417" t="s">
        <v>569</v>
      </c>
      <c r="C128" s="417" t="s">
        <v>472</v>
      </c>
    </row>
    <row r="129" spans="1:3" ht="12.75">
      <c r="A129" s="417" t="s">
        <v>473</v>
      </c>
      <c r="B129" s="417" t="s">
        <v>570</v>
      </c>
      <c r="C129" s="417" t="s">
        <v>472</v>
      </c>
    </row>
    <row r="130" spans="1:3" ht="12.75">
      <c r="A130" s="417" t="s">
        <v>473</v>
      </c>
      <c r="B130" s="417" t="s">
        <v>571</v>
      </c>
      <c r="C130" s="417" t="s">
        <v>472</v>
      </c>
    </row>
    <row r="131" spans="1:3" ht="12.75">
      <c r="A131" s="417" t="s">
        <v>473</v>
      </c>
      <c r="B131" s="417" t="s">
        <v>572</v>
      </c>
      <c r="C131" s="417" t="s">
        <v>472</v>
      </c>
    </row>
    <row r="132" spans="1:3" ht="12.75">
      <c r="A132" s="417" t="s">
        <v>473</v>
      </c>
      <c r="B132" s="417" t="s">
        <v>573</v>
      </c>
      <c r="C132" s="417" t="s">
        <v>472</v>
      </c>
    </row>
    <row r="133" spans="1:3" ht="12.75">
      <c r="A133" s="417" t="s">
        <v>473</v>
      </c>
      <c r="B133" s="417" t="s">
        <v>574</v>
      </c>
      <c r="C133" s="417" t="s">
        <v>472</v>
      </c>
    </row>
    <row r="134" spans="1:3" ht="12.75">
      <c r="A134" s="417" t="s">
        <v>473</v>
      </c>
      <c r="B134" s="417" t="s">
        <v>575</v>
      </c>
      <c r="C134" s="417" t="s">
        <v>472</v>
      </c>
    </row>
    <row r="135" spans="1:3" ht="12.75">
      <c r="A135" s="417" t="s">
        <v>473</v>
      </c>
      <c r="B135" s="417" t="s">
        <v>576</v>
      </c>
      <c r="C135" s="417" t="s">
        <v>472</v>
      </c>
    </row>
    <row r="136" spans="1:3" ht="12.75">
      <c r="A136" s="417" t="s">
        <v>473</v>
      </c>
      <c r="B136" s="417" t="s">
        <v>577</v>
      </c>
      <c r="C136" s="417" t="s">
        <v>472</v>
      </c>
    </row>
    <row r="137" spans="1:3" ht="12.75">
      <c r="A137" s="417" t="s">
        <v>473</v>
      </c>
      <c r="B137" s="417" t="s">
        <v>578</v>
      </c>
      <c r="C137" s="417" t="s">
        <v>472</v>
      </c>
    </row>
    <row r="138" spans="1:3" ht="12.75">
      <c r="A138" s="417" t="s">
        <v>473</v>
      </c>
      <c r="B138" s="417" t="s">
        <v>579</v>
      </c>
      <c r="C138" s="417" t="s">
        <v>472</v>
      </c>
    </row>
    <row r="139" spans="1:3" ht="12.75">
      <c r="A139" s="417" t="s">
        <v>581</v>
      </c>
      <c r="B139" s="417" t="s">
        <v>580</v>
      </c>
      <c r="C139" s="417" t="s">
        <v>409</v>
      </c>
    </row>
    <row r="140" spans="1:3" ht="12.75">
      <c r="A140" s="417" t="s">
        <v>43</v>
      </c>
      <c r="B140" s="417" t="s">
        <v>582</v>
      </c>
      <c r="C140" s="417" t="s">
        <v>13</v>
      </c>
    </row>
    <row r="141" spans="1:3" ht="12.75">
      <c r="A141" s="417" t="s">
        <v>584</v>
      </c>
      <c r="B141" s="417" t="s">
        <v>583</v>
      </c>
      <c r="C141" s="417" t="s">
        <v>44</v>
      </c>
    </row>
    <row r="142" spans="1:3" ht="12.75">
      <c r="A142" s="417" t="s">
        <v>54</v>
      </c>
      <c r="B142" s="417" t="s">
        <v>585</v>
      </c>
      <c r="C142" s="417" t="s">
        <v>385</v>
      </c>
    </row>
    <row r="143" spans="1:3" ht="12.75">
      <c r="A143" s="417" t="s">
        <v>587</v>
      </c>
      <c r="B143" s="417" t="s">
        <v>586</v>
      </c>
      <c r="C143" s="417" t="s">
        <v>385</v>
      </c>
    </row>
    <row r="144" spans="1:3" ht="12.75">
      <c r="A144" s="417" t="s">
        <v>589</v>
      </c>
      <c r="B144" s="417" t="s">
        <v>588</v>
      </c>
      <c r="C144" s="417" t="s">
        <v>11</v>
      </c>
    </row>
    <row r="145" spans="1:3" ht="12.75">
      <c r="A145" s="417" t="s">
        <v>591</v>
      </c>
      <c r="B145" s="417" t="s">
        <v>590</v>
      </c>
      <c r="C145" s="417" t="s">
        <v>385</v>
      </c>
    </row>
    <row r="146" spans="1:3" ht="12.75">
      <c r="A146" s="417" t="s">
        <v>45</v>
      </c>
      <c r="B146" s="417" t="s">
        <v>592</v>
      </c>
      <c r="C146" s="417" t="s">
        <v>385</v>
      </c>
    </row>
    <row r="147" spans="1:3" ht="12.75">
      <c r="A147" s="417" t="s">
        <v>594</v>
      </c>
      <c r="B147" s="417" t="s">
        <v>593</v>
      </c>
      <c r="C147" s="417" t="s">
        <v>385</v>
      </c>
    </row>
    <row r="148" spans="1:3" ht="12.75">
      <c r="A148" s="417" t="s">
        <v>596</v>
      </c>
      <c r="B148" s="417" t="s">
        <v>595</v>
      </c>
      <c r="C148" s="417" t="s">
        <v>385</v>
      </c>
    </row>
    <row r="149" spans="1:3" ht="12.75">
      <c r="A149" s="417" t="s">
        <v>598</v>
      </c>
      <c r="B149" s="417" t="s">
        <v>597</v>
      </c>
      <c r="C149" s="417" t="s">
        <v>409</v>
      </c>
    </row>
    <row r="150" spans="1:3" ht="12.75">
      <c r="A150" s="417" t="s">
        <v>600</v>
      </c>
      <c r="B150" s="417" t="s">
        <v>599</v>
      </c>
      <c r="C150" s="417" t="s">
        <v>409</v>
      </c>
    </row>
    <row r="151" spans="1:3" ht="12.75">
      <c r="A151" s="417" t="s">
        <v>602</v>
      </c>
      <c r="B151" s="417" t="s">
        <v>601</v>
      </c>
      <c r="C151" s="417" t="s">
        <v>409</v>
      </c>
    </row>
    <row r="152" spans="1:3" ht="12.75">
      <c r="A152" s="417" t="s">
        <v>602</v>
      </c>
      <c r="B152" s="417" t="s">
        <v>603</v>
      </c>
      <c r="C152" s="417" t="s">
        <v>44</v>
      </c>
    </row>
    <row r="153" spans="1:3" ht="12.75">
      <c r="A153" s="417" t="s">
        <v>605</v>
      </c>
      <c r="B153" s="417" t="s">
        <v>604</v>
      </c>
      <c r="C153" s="417" t="s">
        <v>409</v>
      </c>
    </row>
    <row r="154" spans="1:3" ht="12.75">
      <c r="A154" s="417" t="s">
        <v>607</v>
      </c>
      <c r="B154" s="417" t="s">
        <v>606</v>
      </c>
      <c r="C154" s="417" t="s">
        <v>13</v>
      </c>
    </row>
    <row r="155" spans="1:3" ht="12.75">
      <c r="A155" s="417" t="s">
        <v>609</v>
      </c>
      <c r="B155" s="417" t="s">
        <v>608</v>
      </c>
      <c r="C155" s="417" t="s">
        <v>11</v>
      </c>
    </row>
    <row r="156" spans="1:3" ht="12.75">
      <c r="A156" s="417" t="s">
        <v>611</v>
      </c>
      <c r="B156" s="417" t="s">
        <v>610</v>
      </c>
      <c r="C156" s="417" t="s">
        <v>11</v>
      </c>
    </row>
    <row r="157" spans="1:3" ht="12.75">
      <c r="A157" s="417" t="s">
        <v>613</v>
      </c>
      <c r="B157" s="417" t="s">
        <v>612</v>
      </c>
      <c r="C157" s="417" t="s">
        <v>11</v>
      </c>
    </row>
    <row r="158" spans="1:3" ht="12.75">
      <c r="A158" s="417" t="s">
        <v>615</v>
      </c>
      <c r="B158" s="417" t="s">
        <v>614</v>
      </c>
      <c r="C158" s="417" t="s">
        <v>11</v>
      </c>
    </row>
    <row r="159" spans="1:3" ht="12.75">
      <c r="A159" s="417" t="s">
        <v>617</v>
      </c>
      <c r="B159" s="417" t="s">
        <v>616</v>
      </c>
      <c r="C159" s="417" t="s">
        <v>11</v>
      </c>
    </row>
    <row r="160" spans="1:3" ht="12.75">
      <c r="A160" s="417" t="s">
        <v>619</v>
      </c>
      <c r="B160" s="417" t="s">
        <v>618</v>
      </c>
      <c r="C160" s="417" t="s">
        <v>11</v>
      </c>
    </row>
    <row r="161" spans="1:3" ht="12.75">
      <c r="A161" s="417" t="s">
        <v>621</v>
      </c>
      <c r="B161" s="417" t="s">
        <v>620</v>
      </c>
      <c r="C161" s="417" t="s">
        <v>11</v>
      </c>
    </row>
    <row r="162" spans="1:3" ht="12.75">
      <c r="A162" s="417" t="s">
        <v>623</v>
      </c>
      <c r="B162" s="417" t="s">
        <v>622</v>
      </c>
      <c r="C162" s="417" t="s">
        <v>11</v>
      </c>
    </row>
    <row r="163" spans="1:3" ht="12.75">
      <c r="A163" s="417" t="s">
        <v>625</v>
      </c>
      <c r="B163" s="417" t="s">
        <v>624</v>
      </c>
      <c r="C163" s="417" t="s">
        <v>11</v>
      </c>
    </row>
    <row r="164" spans="1:3" ht="12.75">
      <c r="A164" s="417" t="s">
        <v>627</v>
      </c>
      <c r="B164" s="417" t="s">
        <v>626</v>
      </c>
      <c r="C164" s="417" t="s">
        <v>11</v>
      </c>
    </row>
    <row r="165" spans="1:3" ht="12.75">
      <c r="A165" s="417" t="s">
        <v>629</v>
      </c>
      <c r="B165" s="417" t="s">
        <v>628</v>
      </c>
      <c r="C165" s="417" t="s">
        <v>11</v>
      </c>
    </row>
    <row r="166" spans="1:3" ht="12.75">
      <c r="A166" s="417" t="s">
        <v>631</v>
      </c>
      <c r="B166" s="417" t="s">
        <v>630</v>
      </c>
      <c r="C166" s="417" t="s">
        <v>11</v>
      </c>
    </row>
    <row r="167" spans="1:3" ht="12.75">
      <c r="A167" s="417" t="s">
        <v>633</v>
      </c>
      <c r="B167" s="417" t="s">
        <v>632</v>
      </c>
      <c r="C167" s="417" t="s">
        <v>11</v>
      </c>
    </row>
    <row r="168" spans="1:3" ht="12.75">
      <c r="A168" s="417" t="s">
        <v>635</v>
      </c>
      <c r="B168" s="417" t="s">
        <v>634</v>
      </c>
      <c r="C168" s="417" t="s">
        <v>11</v>
      </c>
    </row>
    <row r="169" spans="1:3" ht="12.75">
      <c r="A169" s="417" t="s">
        <v>637</v>
      </c>
      <c r="B169" s="417" t="s">
        <v>636</v>
      </c>
      <c r="C169" s="417" t="s">
        <v>11</v>
      </c>
    </row>
    <row r="170" spans="1:3" ht="12.75">
      <c r="A170" s="417" t="s">
        <v>639</v>
      </c>
      <c r="B170" s="417" t="s">
        <v>638</v>
      </c>
      <c r="C170" s="417" t="s">
        <v>11</v>
      </c>
    </row>
    <row r="171" spans="1:3" ht="12.75">
      <c r="A171" s="417" t="s">
        <v>641</v>
      </c>
      <c r="B171" s="417" t="s">
        <v>640</v>
      </c>
      <c r="C171" s="417" t="s">
        <v>11</v>
      </c>
    </row>
    <row r="172" spans="1:3" ht="12.75">
      <c r="A172" s="417" t="s">
        <v>643</v>
      </c>
      <c r="B172" s="417" t="s">
        <v>642</v>
      </c>
      <c r="C172" s="417" t="s">
        <v>11</v>
      </c>
    </row>
    <row r="173" spans="1:3" ht="12.75">
      <c r="A173" s="417" t="s">
        <v>645</v>
      </c>
      <c r="B173" s="417" t="s">
        <v>644</v>
      </c>
      <c r="C173" s="417" t="s">
        <v>11</v>
      </c>
    </row>
    <row r="174" spans="1:3" ht="12.75">
      <c r="A174" s="417" t="s">
        <v>647</v>
      </c>
      <c r="B174" s="417" t="s">
        <v>646</v>
      </c>
      <c r="C174" s="417" t="s">
        <v>11</v>
      </c>
    </row>
    <row r="175" spans="1:3" ht="12.75">
      <c r="A175" s="417" t="s">
        <v>649</v>
      </c>
      <c r="B175" s="417" t="s">
        <v>648</v>
      </c>
      <c r="C175" s="417" t="s">
        <v>11</v>
      </c>
    </row>
    <row r="176" spans="1:3" ht="12.75">
      <c r="A176" s="417" t="s">
        <v>651</v>
      </c>
      <c r="B176" s="417" t="s">
        <v>650</v>
      </c>
      <c r="C176" s="417" t="s">
        <v>11</v>
      </c>
    </row>
    <row r="177" spans="1:3" ht="12.75">
      <c r="A177" s="417" t="s">
        <v>653</v>
      </c>
      <c r="B177" s="417" t="s">
        <v>652</v>
      </c>
      <c r="C177" s="417" t="s">
        <v>11</v>
      </c>
    </row>
    <row r="178" spans="1:3" ht="12.75">
      <c r="A178" s="417" t="s">
        <v>655</v>
      </c>
      <c r="B178" s="417" t="s">
        <v>654</v>
      </c>
      <c r="C178" s="417" t="s">
        <v>11</v>
      </c>
    </row>
    <row r="179" spans="1:3" ht="12.75">
      <c r="A179" s="417" t="s">
        <v>657</v>
      </c>
      <c r="B179" s="417" t="s">
        <v>656</v>
      </c>
      <c r="C179" s="417" t="s">
        <v>11</v>
      </c>
    </row>
    <row r="180" spans="1:3" ht="12.75">
      <c r="A180" s="417" t="s">
        <v>659</v>
      </c>
      <c r="B180" s="417" t="s">
        <v>658</v>
      </c>
      <c r="C180" s="417" t="s">
        <v>11</v>
      </c>
    </row>
    <row r="181" spans="1:3" ht="12.75">
      <c r="A181" s="417" t="s">
        <v>661</v>
      </c>
      <c r="B181" s="417" t="s">
        <v>660</v>
      </c>
      <c r="C181" s="417" t="s">
        <v>11</v>
      </c>
    </row>
    <row r="182" spans="1:3" ht="12.75">
      <c r="A182" s="417" t="s">
        <v>663</v>
      </c>
      <c r="B182" s="417" t="s">
        <v>662</v>
      </c>
      <c r="C182" s="417" t="s">
        <v>11</v>
      </c>
    </row>
    <row r="183" spans="1:3" ht="12.75">
      <c r="A183" s="417" t="s">
        <v>665</v>
      </c>
      <c r="B183" s="417" t="s">
        <v>664</v>
      </c>
      <c r="C183" s="417" t="s">
        <v>11</v>
      </c>
    </row>
    <row r="184" spans="1:3" ht="12.75">
      <c r="A184" s="417" t="s">
        <v>667</v>
      </c>
      <c r="B184" s="417" t="s">
        <v>666</v>
      </c>
      <c r="C184" s="417" t="s">
        <v>11</v>
      </c>
    </row>
    <row r="185" spans="1:3" ht="12.75">
      <c r="A185" s="417" t="s">
        <v>669</v>
      </c>
      <c r="B185" s="417" t="s">
        <v>668</v>
      </c>
      <c r="C185" s="417" t="s">
        <v>11</v>
      </c>
    </row>
    <row r="186" spans="1:3" ht="12.75">
      <c r="A186" s="417" t="s">
        <v>671</v>
      </c>
      <c r="B186" s="417" t="s">
        <v>670</v>
      </c>
      <c r="C186" s="417" t="s">
        <v>11</v>
      </c>
    </row>
    <row r="187" spans="1:3" ht="12.75">
      <c r="A187" s="417" t="s">
        <v>673</v>
      </c>
      <c r="B187" s="417" t="s">
        <v>672</v>
      </c>
      <c r="C187" s="417" t="s">
        <v>11</v>
      </c>
    </row>
    <row r="188" spans="1:3" ht="12.75">
      <c r="A188" s="417" t="s">
        <v>675</v>
      </c>
      <c r="B188" s="417" t="s">
        <v>674</v>
      </c>
      <c r="C188" s="417" t="s">
        <v>11</v>
      </c>
    </row>
    <row r="189" spans="1:3" ht="12.75">
      <c r="A189" s="417" t="s">
        <v>677</v>
      </c>
      <c r="B189" s="417" t="s">
        <v>676</v>
      </c>
      <c r="C189" s="417" t="s">
        <v>11</v>
      </c>
    </row>
    <row r="190" spans="1:3" ht="12.75">
      <c r="A190" s="417" t="s">
        <v>679</v>
      </c>
      <c r="B190" s="417" t="s">
        <v>678</v>
      </c>
      <c r="C190" s="417" t="s">
        <v>11</v>
      </c>
    </row>
    <row r="191" spans="1:3" ht="12.75">
      <c r="A191" s="417" t="s">
        <v>681</v>
      </c>
      <c r="B191" s="417" t="s">
        <v>680</v>
      </c>
      <c r="C191" s="417" t="s">
        <v>11</v>
      </c>
    </row>
    <row r="192" spans="1:3" ht="12.75">
      <c r="A192" s="417" t="s">
        <v>683</v>
      </c>
      <c r="B192" s="417" t="s">
        <v>682</v>
      </c>
      <c r="C192" s="417" t="s">
        <v>11</v>
      </c>
    </row>
    <row r="193" spans="1:3" ht="12.75">
      <c r="A193" s="417" t="s">
        <v>685</v>
      </c>
      <c r="B193" s="417" t="s">
        <v>684</v>
      </c>
      <c r="C193" s="417" t="s">
        <v>11</v>
      </c>
    </row>
    <row r="194" spans="1:3" ht="12.75">
      <c r="A194" s="417" t="s">
        <v>687</v>
      </c>
      <c r="B194" s="417" t="s">
        <v>686</v>
      </c>
      <c r="C194" s="417" t="s">
        <v>11</v>
      </c>
    </row>
    <row r="195" spans="1:3" ht="12.75">
      <c r="A195" s="417" t="s">
        <v>689</v>
      </c>
      <c r="B195" s="417" t="s">
        <v>688</v>
      </c>
      <c r="C195" s="417" t="s">
        <v>11</v>
      </c>
    </row>
    <row r="196" spans="1:3" ht="12.75">
      <c r="A196" s="417" t="s">
        <v>691</v>
      </c>
      <c r="B196" s="417" t="s">
        <v>690</v>
      </c>
      <c r="C196" s="417" t="s">
        <v>11</v>
      </c>
    </row>
    <row r="197" spans="1:3" ht="12.75">
      <c r="A197" s="417" t="s">
        <v>693</v>
      </c>
      <c r="B197" s="417" t="s">
        <v>692</v>
      </c>
      <c r="C197" s="417" t="s">
        <v>11</v>
      </c>
    </row>
    <row r="198" spans="1:3" ht="12.75">
      <c r="A198" s="417" t="s">
        <v>695</v>
      </c>
      <c r="B198" s="417" t="s">
        <v>694</v>
      </c>
      <c r="C198" s="417" t="s">
        <v>11</v>
      </c>
    </row>
    <row r="199" spans="1:3" ht="12.75">
      <c r="A199" s="417" t="s">
        <v>697</v>
      </c>
      <c r="B199" s="417" t="s">
        <v>696</v>
      </c>
      <c r="C199" s="417" t="s">
        <v>11</v>
      </c>
    </row>
    <row r="200" spans="1:3" ht="12.75">
      <c r="A200" s="417" t="s">
        <v>699</v>
      </c>
      <c r="B200" s="417" t="s">
        <v>698</v>
      </c>
      <c r="C200" s="417" t="s">
        <v>11</v>
      </c>
    </row>
    <row r="201" spans="1:3" ht="12.75">
      <c r="A201" s="417" t="s">
        <v>701</v>
      </c>
      <c r="B201" s="417" t="s">
        <v>700</v>
      </c>
      <c r="C201" s="417" t="s">
        <v>11</v>
      </c>
    </row>
    <row r="202" spans="1:3" ht="12.75">
      <c r="A202" s="417" t="s">
        <v>703</v>
      </c>
      <c r="B202" s="417" t="s">
        <v>702</v>
      </c>
      <c r="C202" s="417" t="s">
        <v>11</v>
      </c>
    </row>
    <row r="203" spans="1:3" ht="12.75">
      <c r="A203" s="417" t="s">
        <v>705</v>
      </c>
      <c r="B203" s="417" t="s">
        <v>704</v>
      </c>
      <c r="C203" s="417" t="s">
        <v>11</v>
      </c>
    </row>
    <row r="204" spans="1:3" ht="12.75">
      <c r="A204" s="417" t="s">
        <v>707</v>
      </c>
      <c r="B204" s="417" t="s">
        <v>706</v>
      </c>
      <c r="C204" s="417" t="s">
        <v>11</v>
      </c>
    </row>
    <row r="205" spans="1:3" ht="12.75">
      <c r="A205" s="417" t="s">
        <v>709</v>
      </c>
      <c r="B205" s="417" t="s">
        <v>708</v>
      </c>
      <c r="C205" s="417" t="s">
        <v>11</v>
      </c>
    </row>
    <row r="206" spans="1:3" ht="12.75">
      <c r="A206" s="417" t="s">
        <v>711</v>
      </c>
      <c r="B206" s="417" t="s">
        <v>710</v>
      </c>
      <c r="C206" s="417" t="s">
        <v>11</v>
      </c>
    </row>
    <row r="207" spans="1:3" ht="12.75">
      <c r="A207" s="417" t="s">
        <v>713</v>
      </c>
      <c r="B207" s="417" t="s">
        <v>712</v>
      </c>
      <c r="C207" s="417" t="s">
        <v>11</v>
      </c>
    </row>
    <row r="208" spans="1:3" ht="12.75">
      <c r="A208" s="417" t="s">
        <v>715</v>
      </c>
      <c r="B208" s="417" t="s">
        <v>714</v>
      </c>
      <c r="C208" s="417" t="s">
        <v>11</v>
      </c>
    </row>
    <row r="209" spans="1:3" ht="12.75">
      <c r="A209" s="417" t="s">
        <v>717</v>
      </c>
      <c r="B209" s="417" t="s">
        <v>716</v>
      </c>
      <c r="C209" s="417" t="s">
        <v>11</v>
      </c>
    </row>
    <row r="210" spans="1:3" ht="12.75">
      <c r="A210" s="417" t="s">
        <v>719</v>
      </c>
      <c r="B210" s="417" t="s">
        <v>718</v>
      </c>
      <c r="C210" s="417" t="s">
        <v>11</v>
      </c>
    </row>
    <row r="211" spans="1:3" ht="12.75">
      <c r="A211" s="417" t="s">
        <v>721</v>
      </c>
      <c r="B211" s="417" t="s">
        <v>720</v>
      </c>
      <c r="C211" s="417" t="s">
        <v>11</v>
      </c>
    </row>
    <row r="212" spans="1:3" ht="12.75">
      <c r="A212" s="417" t="s">
        <v>723</v>
      </c>
      <c r="B212" s="417" t="s">
        <v>722</v>
      </c>
      <c r="C212" s="417" t="s">
        <v>11</v>
      </c>
    </row>
    <row r="213" spans="1:3" ht="12.75">
      <c r="A213" s="417" t="s">
        <v>725</v>
      </c>
      <c r="B213" s="417" t="s">
        <v>724</v>
      </c>
      <c r="C213" s="417" t="s">
        <v>11</v>
      </c>
    </row>
    <row r="214" spans="1:3" ht="12.75">
      <c r="A214" s="417" t="s">
        <v>727</v>
      </c>
      <c r="B214" s="417" t="s">
        <v>726</v>
      </c>
      <c r="C214" s="417" t="s">
        <v>11</v>
      </c>
    </row>
    <row r="215" spans="1:3" ht="12.75">
      <c r="A215" s="417" t="s">
        <v>729</v>
      </c>
      <c r="B215" s="417" t="s">
        <v>728</v>
      </c>
      <c r="C215" s="417" t="s">
        <v>11</v>
      </c>
    </row>
    <row r="216" spans="1:3" ht="12.75">
      <c r="A216" s="417" t="s">
        <v>731</v>
      </c>
      <c r="B216" s="417" t="s">
        <v>730</v>
      </c>
      <c r="C216" s="417" t="s">
        <v>11</v>
      </c>
    </row>
    <row r="217" spans="1:3" ht="12.75">
      <c r="A217" s="417" t="s">
        <v>733</v>
      </c>
      <c r="B217" s="417" t="s">
        <v>732</v>
      </c>
      <c r="C217" s="417" t="s">
        <v>11</v>
      </c>
    </row>
    <row r="218" spans="1:3" ht="12.75">
      <c r="A218" s="417" t="s">
        <v>735</v>
      </c>
      <c r="B218" s="417" t="s">
        <v>734</v>
      </c>
      <c r="C218" s="417" t="s">
        <v>11</v>
      </c>
    </row>
    <row r="219" spans="1:3" ht="12.75">
      <c r="A219" s="417" t="s">
        <v>737</v>
      </c>
      <c r="B219" s="417" t="s">
        <v>736</v>
      </c>
      <c r="C219" s="417" t="s">
        <v>11</v>
      </c>
    </row>
    <row r="220" spans="1:3" ht="12.75">
      <c r="A220" s="417" t="s">
        <v>739</v>
      </c>
      <c r="B220" s="417" t="s">
        <v>738</v>
      </c>
      <c r="C220" s="417" t="s">
        <v>11</v>
      </c>
    </row>
    <row r="221" spans="1:3" ht="12.75">
      <c r="A221" s="417" t="s">
        <v>741</v>
      </c>
      <c r="B221" s="417" t="s">
        <v>740</v>
      </c>
      <c r="C221" s="417" t="s">
        <v>11</v>
      </c>
    </row>
    <row r="222" spans="1:3" ht="12.75">
      <c r="A222" s="417" t="s">
        <v>743</v>
      </c>
      <c r="B222" s="417" t="s">
        <v>742</v>
      </c>
      <c r="C222" s="417" t="s">
        <v>11</v>
      </c>
    </row>
    <row r="223" spans="1:3" ht="12.75">
      <c r="A223" s="417" t="s">
        <v>745</v>
      </c>
      <c r="B223" s="417" t="s">
        <v>744</v>
      </c>
      <c r="C223" s="417" t="s">
        <v>11</v>
      </c>
    </row>
    <row r="224" spans="1:3" ht="12.75">
      <c r="A224" s="417" t="s">
        <v>747</v>
      </c>
      <c r="B224" s="417" t="s">
        <v>746</v>
      </c>
      <c r="C224" s="417" t="s">
        <v>11</v>
      </c>
    </row>
    <row r="225" spans="1:3" ht="12.75">
      <c r="A225" s="417" t="s">
        <v>749</v>
      </c>
      <c r="B225" s="417" t="s">
        <v>748</v>
      </c>
      <c r="C225" s="417" t="s">
        <v>11</v>
      </c>
    </row>
    <row r="226" spans="1:3" ht="12.75">
      <c r="A226" s="417" t="s">
        <v>751</v>
      </c>
      <c r="B226" s="417" t="s">
        <v>750</v>
      </c>
      <c r="C226" s="417" t="s">
        <v>11</v>
      </c>
    </row>
    <row r="227" spans="1:3" ht="12.75">
      <c r="A227" s="417" t="s">
        <v>753</v>
      </c>
      <c r="B227" s="417" t="s">
        <v>752</v>
      </c>
      <c r="C227" s="417" t="s">
        <v>11</v>
      </c>
    </row>
    <row r="228" spans="1:3" ht="12.75">
      <c r="A228" s="417" t="s">
        <v>755</v>
      </c>
      <c r="B228" s="417" t="s">
        <v>754</v>
      </c>
      <c r="C228" s="417" t="s">
        <v>11</v>
      </c>
    </row>
    <row r="229" spans="1:3" ht="12.75">
      <c r="A229" s="417" t="s">
        <v>757</v>
      </c>
      <c r="B229" s="417" t="s">
        <v>756</v>
      </c>
      <c r="C229" s="417" t="s">
        <v>11</v>
      </c>
    </row>
    <row r="230" spans="1:3" ht="12.75">
      <c r="A230" s="417" t="s">
        <v>759</v>
      </c>
      <c r="B230" s="417" t="s">
        <v>758</v>
      </c>
      <c r="C230" s="417" t="s">
        <v>11</v>
      </c>
    </row>
    <row r="231" spans="1:3" ht="12.75">
      <c r="A231" s="417" t="s">
        <v>761</v>
      </c>
      <c r="B231" s="417" t="s">
        <v>760</v>
      </c>
      <c r="C231" s="417" t="s">
        <v>11</v>
      </c>
    </row>
    <row r="232" spans="1:3" ht="12.75">
      <c r="A232" s="417" t="s">
        <v>763</v>
      </c>
      <c r="B232" s="417" t="s">
        <v>762</v>
      </c>
      <c r="C232" s="417" t="s">
        <v>11</v>
      </c>
    </row>
    <row r="233" spans="1:3" ht="12.75">
      <c r="A233" s="417" t="s">
        <v>765</v>
      </c>
      <c r="B233" s="417" t="s">
        <v>764</v>
      </c>
      <c r="C233" s="417" t="s">
        <v>11</v>
      </c>
    </row>
    <row r="234" spans="1:3" ht="12.75">
      <c r="A234" s="417" t="s">
        <v>767</v>
      </c>
      <c r="B234" s="417" t="s">
        <v>766</v>
      </c>
      <c r="C234" s="417" t="s">
        <v>11</v>
      </c>
    </row>
    <row r="235" spans="1:3" ht="12.75">
      <c r="A235" s="417" t="s">
        <v>769</v>
      </c>
      <c r="B235" s="417" t="s">
        <v>768</v>
      </c>
      <c r="C235" s="417" t="s">
        <v>11</v>
      </c>
    </row>
    <row r="236" spans="1:3" ht="12.75">
      <c r="A236" s="417" t="s">
        <v>771</v>
      </c>
      <c r="B236" s="417" t="s">
        <v>770</v>
      </c>
      <c r="C236" s="417" t="s">
        <v>11</v>
      </c>
    </row>
    <row r="237" spans="1:3" ht="12.75">
      <c r="A237" s="417" t="s">
        <v>773</v>
      </c>
      <c r="B237" s="417" t="s">
        <v>772</v>
      </c>
      <c r="C237" s="417" t="s">
        <v>11</v>
      </c>
    </row>
    <row r="238" spans="1:3" ht="12.75">
      <c r="A238" s="417" t="s">
        <v>775</v>
      </c>
      <c r="B238" s="417" t="s">
        <v>774</v>
      </c>
      <c r="C238" s="417" t="s">
        <v>11</v>
      </c>
    </row>
    <row r="239" spans="1:3" ht="12.75">
      <c r="A239" s="417" t="s">
        <v>777</v>
      </c>
      <c r="B239" s="417" t="s">
        <v>776</v>
      </c>
      <c r="C239" s="417" t="s">
        <v>11</v>
      </c>
    </row>
    <row r="240" spans="1:3" ht="12.75">
      <c r="A240" s="417" t="s">
        <v>779</v>
      </c>
      <c r="B240" s="417" t="s">
        <v>778</v>
      </c>
      <c r="C240" s="417" t="s">
        <v>11</v>
      </c>
    </row>
    <row r="241" spans="1:3" ht="12.75">
      <c r="A241" s="417" t="s">
        <v>781</v>
      </c>
      <c r="B241" s="417" t="s">
        <v>780</v>
      </c>
      <c r="C241" s="417" t="s">
        <v>11</v>
      </c>
    </row>
    <row r="242" spans="1:3" ht="12.75">
      <c r="A242" s="417" t="s">
        <v>783</v>
      </c>
      <c r="B242" s="417" t="s">
        <v>782</v>
      </c>
      <c r="C242" s="417" t="s">
        <v>11</v>
      </c>
    </row>
    <row r="243" spans="1:3" ht="12.75">
      <c r="A243" s="417" t="s">
        <v>785</v>
      </c>
      <c r="B243" s="417" t="s">
        <v>784</v>
      </c>
      <c r="C243" s="417" t="s">
        <v>11</v>
      </c>
    </row>
    <row r="244" spans="1:3" ht="12.75">
      <c r="A244" s="417" t="s">
        <v>787</v>
      </c>
      <c r="B244" s="417" t="s">
        <v>786</v>
      </c>
      <c r="C244" s="417" t="s">
        <v>11</v>
      </c>
    </row>
    <row r="245" spans="1:3" ht="12.75">
      <c r="A245" s="417" t="s">
        <v>789</v>
      </c>
      <c r="B245" s="417" t="s">
        <v>788</v>
      </c>
      <c r="C245" s="417" t="s">
        <v>11</v>
      </c>
    </row>
    <row r="246" spans="1:3" ht="12.75">
      <c r="A246" s="417" t="s">
        <v>791</v>
      </c>
      <c r="B246" s="417" t="s">
        <v>790</v>
      </c>
      <c r="C246" s="417" t="s">
        <v>11</v>
      </c>
    </row>
    <row r="247" spans="1:3" ht="12.75">
      <c r="A247" s="417" t="s">
        <v>793</v>
      </c>
      <c r="B247" s="417" t="s">
        <v>792</v>
      </c>
      <c r="C247" s="417" t="s">
        <v>11</v>
      </c>
    </row>
    <row r="248" spans="1:3" ht="12.75">
      <c r="A248" s="417" t="s">
        <v>795</v>
      </c>
      <c r="B248" s="417" t="s">
        <v>794</v>
      </c>
      <c r="C248" s="417" t="s">
        <v>11</v>
      </c>
    </row>
    <row r="249" spans="1:3" ht="12.75">
      <c r="A249" s="417" t="s">
        <v>797</v>
      </c>
      <c r="B249" s="417" t="s">
        <v>796</v>
      </c>
      <c r="C249" s="417" t="s">
        <v>11</v>
      </c>
    </row>
    <row r="250" spans="1:3" ht="12.75">
      <c r="A250" s="417" t="s">
        <v>799</v>
      </c>
      <c r="B250" s="417" t="s">
        <v>798</v>
      </c>
      <c r="C250" s="417" t="s">
        <v>11</v>
      </c>
    </row>
    <row r="251" spans="1:3" ht="12.75">
      <c r="A251" s="417" t="s">
        <v>801</v>
      </c>
      <c r="B251" s="417" t="s">
        <v>800</v>
      </c>
      <c r="C251" s="417" t="s">
        <v>11</v>
      </c>
    </row>
    <row r="252" spans="1:3" ht="12.75">
      <c r="A252" s="417" t="s">
        <v>160</v>
      </c>
      <c r="B252" s="417" t="s">
        <v>802</v>
      </c>
      <c r="C252" s="417" t="s">
        <v>11</v>
      </c>
    </row>
    <row r="253" spans="1:3" ht="12.75">
      <c r="A253" s="417" t="s">
        <v>161</v>
      </c>
      <c r="B253" s="417" t="s">
        <v>803</v>
      </c>
      <c r="C253" s="417" t="s">
        <v>11</v>
      </c>
    </row>
    <row r="254" spans="1:3" ht="12.75">
      <c r="A254" s="417" t="s">
        <v>805</v>
      </c>
      <c r="B254" s="417" t="s">
        <v>804</v>
      </c>
      <c r="C254" s="417" t="s">
        <v>11</v>
      </c>
    </row>
    <row r="255" spans="1:3" ht="12.75">
      <c r="A255" s="417" t="s">
        <v>162</v>
      </c>
      <c r="B255" s="417" t="s">
        <v>806</v>
      </c>
      <c r="C255" s="417" t="s">
        <v>11</v>
      </c>
    </row>
    <row r="256" spans="1:3" ht="12.75">
      <c r="A256" s="417" t="s">
        <v>808</v>
      </c>
      <c r="B256" s="417" t="s">
        <v>807</v>
      </c>
      <c r="C256" s="417" t="s">
        <v>11</v>
      </c>
    </row>
    <row r="257" spans="1:3" ht="12.75">
      <c r="A257" s="417" t="s">
        <v>810</v>
      </c>
      <c r="B257" s="417" t="s">
        <v>809</v>
      </c>
      <c r="C257" s="417" t="s">
        <v>11</v>
      </c>
    </row>
    <row r="258" spans="1:3" ht="12.75">
      <c r="A258" s="417" t="s">
        <v>812</v>
      </c>
      <c r="B258" s="417" t="s">
        <v>811</v>
      </c>
      <c r="C258" s="417" t="s">
        <v>11</v>
      </c>
    </row>
    <row r="259" spans="1:3" ht="12.75">
      <c r="A259" s="417" t="s">
        <v>814</v>
      </c>
      <c r="B259" s="417" t="s">
        <v>813</v>
      </c>
      <c r="C259" s="417" t="s">
        <v>11</v>
      </c>
    </row>
    <row r="260" spans="1:3" ht="12.75">
      <c r="A260" s="417" t="s">
        <v>816</v>
      </c>
      <c r="B260" s="417" t="s">
        <v>815</v>
      </c>
      <c r="C260" s="417" t="s">
        <v>11</v>
      </c>
    </row>
    <row r="261" spans="1:3" ht="12.75">
      <c r="A261" s="417" t="s">
        <v>818</v>
      </c>
      <c r="B261" s="417" t="s">
        <v>817</v>
      </c>
      <c r="C261" s="417" t="s">
        <v>11</v>
      </c>
    </row>
    <row r="262" spans="1:3" ht="12.75">
      <c r="A262" s="417" t="s">
        <v>820</v>
      </c>
      <c r="B262" s="417" t="s">
        <v>819</v>
      </c>
      <c r="C262" s="417" t="s">
        <v>11</v>
      </c>
    </row>
    <row r="263" spans="1:3" ht="12.75">
      <c r="A263" s="417" t="s">
        <v>822</v>
      </c>
      <c r="B263" s="417" t="s">
        <v>821</v>
      </c>
      <c r="C263" s="417" t="s">
        <v>11</v>
      </c>
    </row>
    <row r="264" spans="1:3" ht="12.75">
      <c r="A264" s="417" t="s">
        <v>824</v>
      </c>
      <c r="B264" s="417" t="s">
        <v>823</v>
      </c>
      <c r="C264" s="417" t="s">
        <v>11</v>
      </c>
    </row>
    <row r="265" spans="1:3" ht="12.75">
      <c r="A265" s="417" t="s">
        <v>826</v>
      </c>
      <c r="B265" s="417" t="s">
        <v>825</v>
      </c>
      <c r="C265" s="417" t="s">
        <v>11</v>
      </c>
    </row>
    <row r="266" spans="1:3" ht="12.75">
      <c r="A266" s="417" t="s">
        <v>828</v>
      </c>
      <c r="B266" s="417" t="s">
        <v>827</v>
      </c>
      <c r="C266" s="417" t="s">
        <v>11</v>
      </c>
    </row>
    <row r="267" spans="1:3" ht="12.75">
      <c r="A267" s="417" t="s">
        <v>830</v>
      </c>
      <c r="B267" s="417" t="s">
        <v>829</v>
      </c>
      <c r="C267" s="417" t="s">
        <v>11</v>
      </c>
    </row>
    <row r="268" spans="1:3" ht="12.75">
      <c r="A268" s="417" t="s">
        <v>832</v>
      </c>
      <c r="B268" s="417" t="s">
        <v>831</v>
      </c>
      <c r="C268" s="417" t="s">
        <v>11</v>
      </c>
    </row>
    <row r="269" spans="1:3" ht="12.75">
      <c r="A269" s="417" t="s">
        <v>834</v>
      </c>
      <c r="B269" s="417" t="s">
        <v>833</v>
      </c>
      <c r="C269" s="417" t="s">
        <v>11</v>
      </c>
    </row>
    <row r="270" spans="1:3" ht="12.75">
      <c r="A270" s="417" t="s">
        <v>836</v>
      </c>
      <c r="B270" s="417" t="s">
        <v>835</v>
      </c>
      <c r="C270" s="417" t="s">
        <v>11</v>
      </c>
    </row>
    <row r="271" spans="1:3" ht="12.75">
      <c r="A271" s="417" t="s">
        <v>838</v>
      </c>
      <c r="B271" s="417" t="s">
        <v>837</v>
      </c>
      <c r="C271" s="417" t="s">
        <v>11</v>
      </c>
    </row>
    <row r="272" spans="1:3" ht="12.75">
      <c r="A272" s="417" t="s">
        <v>840</v>
      </c>
      <c r="B272" s="417" t="s">
        <v>839</v>
      </c>
      <c r="C272" s="417" t="s">
        <v>11</v>
      </c>
    </row>
    <row r="273" spans="1:3" ht="12.75">
      <c r="A273" s="417" t="s">
        <v>842</v>
      </c>
      <c r="B273" s="417" t="s">
        <v>841</v>
      </c>
      <c r="C273" s="417" t="s">
        <v>11</v>
      </c>
    </row>
    <row r="274" spans="1:3" ht="12.75">
      <c r="A274" s="417" t="s">
        <v>844</v>
      </c>
      <c r="B274" s="417" t="s">
        <v>843</v>
      </c>
      <c r="C274" s="417" t="s">
        <v>11</v>
      </c>
    </row>
    <row r="275" spans="1:3" ht="12.75">
      <c r="A275" s="417" t="s">
        <v>846</v>
      </c>
      <c r="B275" s="417" t="s">
        <v>845</v>
      </c>
      <c r="C275" s="417" t="s">
        <v>11</v>
      </c>
    </row>
    <row r="276" spans="1:3" ht="12.75">
      <c r="A276" s="417" t="s">
        <v>848</v>
      </c>
      <c r="B276" s="417" t="s">
        <v>847</v>
      </c>
      <c r="C276" s="417" t="s">
        <v>11</v>
      </c>
    </row>
    <row r="277" spans="1:3" ht="12.75">
      <c r="A277" s="417" t="s">
        <v>850</v>
      </c>
      <c r="B277" s="417" t="s">
        <v>849</v>
      </c>
      <c r="C277" s="417" t="s">
        <v>11</v>
      </c>
    </row>
    <row r="278" spans="1:3" ht="12.75">
      <c r="A278" s="417" t="s">
        <v>852</v>
      </c>
      <c r="B278" s="417" t="s">
        <v>851</v>
      </c>
      <c r="C278" s="417" t="s">
        <v>11</v>
      </c>
    </row>
    <row r="279" spans="1:3" ht="12.75">
      <c r="A279" s="417" t="s">
        <v>854</v>
      </c>
      <c r="B279" s="417" t="s">
        <v>853</v>
      </c>
      <c r="C279" s="417" t="s">
        <v>11</v>
      </c>
    </row>
    <row r="280" spans="1:3" ht="12.75">
      <c r="A280" s="417" t="s">
        <v>856</v>
      </c>
      <c r="B280" s="417" t="s">
        <v>855</v>
      </c>
      <c r="C280" s="417" t="s">
        <v>11</v>
      </c>
    </row>
    <row r="281" spans="1:3" ht="12.75">
      <c r="A281" s="417" t="s">
        <v>858</v>
      </c>
      <c r="B281" s="417" t="s">
        <v>857</v>
      </c>
      <c r="C281" s="417" t="s">
        <v>11</v>
      </c>
    </row>
    <row r="282" spans="1:3" ht="12.75">
      <c r="A282" s="417" t="s">
        <v>860</v>
      </c>
      <c r="B282" s="417" t="s">
        <v>859</v>
      </c>
      <c r="C282" s="417" t="s">
        <v>11</v>
      </c>
    </row>
    <row r="283" spans="1:3" ht="12.75">
      <c r="A283" s="417" t="s">
        <v>862</v>
      </c>
      <c r="B283" s="417" t="s">
        <v>861</v>
      </c>
      <c r="C283" s="417" t="s">
        <v>11</v>
      </c>
    </row>
    <row r="284" spans="1:3" ht="12.75">
      <c r="A284" s="417" t="s">
        <v>864</v>
      </c>
      <c r="B284" s="417" t="s">
        <v>863</v>
      </c>
      <c r="C284" s="417" t="s">
        <v>11</v>
      </c>
    </row>
    <row r="285" spans="1:3" ht="12.75">
      <c r="A285" s="417" t="s">
        <v>866</v>
      </c>
      <c r="B285" s="417" t="s">
        <v>865</v>
      </c>
      <c r="C285" s="417" t="s">
        <v>11</v>
      </c>
    </row>
    <row r="286" spans="1:3" ht="12.75">
      <c r="A286" s="417" t="s">
        <v>868</v>
      </c>
      <c r="B286" s="417" t="s">
        <v>867</v>
      </c>
      <c r="C286" s="417" t="s">
        <v>11</v>
      </c>
    </row>
    <row r="287" spans="1:3" ht="12.75">
      <c r="A287" s="417" t="s">
        <v>870</v>
      </c>
      <c r="B287" s="417" t="s">
        <v>869</v>
      </c>
      <c r="C287" s="417" t="s">
        <v>11</v>
      </c>
    </row>
    <row r="288" spans="1:3" ht="12.75">
      <c r="A288" s="417" t="s">
        <v>872</v>
      </c>
      <c r="B288" s="417" t="s">
        <v>871</v>
      </c>
      <c r="C288" s="417" t="s">
        <v>11</v>
      </c>
    </row>
    <row r="289" spans="1:3" ht="12.75">
      <c r="A289" s="417" t="s">
        <v>874</v>
      </c>
      <c r="B289" s="417" t="s">
        <v>873</v>
      </c>
      <c r="C289" s="417" t="s">
        <v>11</v>
      </c>
    </row>
    <row r="290" spans="1:3" ht="12.75">
      <c r="A290" s="417" t="s">
        <v>876</v>
      </c>
      <c r="B290" s="417" t="s">
        <v>875</v>
      </c>
      <c r="C290" s="417" t="s">
        <v>11</v>
      </c>
    </row>
    <row r="291" spans="1:3" ht="12.75">
      <c r="A291" s="417" t="s">
        <v>878</v>
      </c>
      <c r="B291" s="417" t="s">
        <v>877</v>
      </c>
      <c r="C291" s="417" t="s">
        <v>11</v>
      </c>
    </row>
    <row r="292" spans="1:3" ht="12.75">
      <c r="A292" s="417" t="s">
        <v>880</v>
      </c>
      <c r="B292" s="417" t="s">
        <v>879</v>
      </c>
      <c r="C292" s="417" t="s">
        <v>11</v>
      </c>
    </row>
    <row r="293" spans="1:3" ht="12.75">
      <c r="A293" s="417" t="s">
        <v>882</v>
      </c>
      <c r="B293" s="417" t="s">
        <v>881</v>
      </c>
      <c r="C293" s="417" t="s">
        <v>11</v>
      </c>
    </row>
    <row r="294" spans="1:3" ht="12.75">
      <c r="A294" s="417" t="s">
        <v>884</v>
      </c>
      <c r="B294" s="417" t="s">
        <v>883</v>
      </c>
      <c r="C294" s="417" t="s">
        <v>11</v>
      </c>
    </row>
    <row r="295" spans="1:3" ht="12.75">
      <c r="A295" s="417" t="s">
        <v>886</v>
      </c>
      <c r="B295" s="417" t="s">
        <v>885</v>
      </c>
      <c r="C295" s="417" t="s">
        <v>11</v>
      </c>
    </row>
    <row r="296" spans="1:3" ht="12.75">
      <c r="A296" s="417" t="s">
        <v>888</v>
      </c>
      <c r="B296" s="417" t="s">
        <v>887</v>
      </c>
      <c r="C296" s="417" t="s">
        <v>11</v>
      </c>
    </row>
    <row r="297" spans="1:3" ht="12.75">
      <c r="A297" s="417" t="s">
        <v>890</v>
      </c>
      <c r="B297" s="417" t="s">
        <v>889</v>
      </c>
      <c r="C297" s="417" t="s">
        <v>11</v>
      </c>
    </row>
    <row r="298" spans="1:3" ht="12.75">
      <c r="A298" s="417" t="s">
        <v>892</v>
      </c>
      <c r="B298" s="417" t="s">
        <v>891</v>
      </c>
      <c r="C298" s="417" t="s">
        <v>11</v>
      </c>
    </row>
    <row r="299" spans="1:3" ht="12.75">
      <c r="A299" s="417" t="s">
        <v>894</v>
      </c>
      <c r="B299" s="417" t="s">
        <v>893</v>
      </c>
      <c r="C299" s="417" t="s">
        <v>11</v>
      </c>
    </row>
    <row r="300" spans="1:3" ht="12.75">
      <c r="A300" s="417" t="s">
        <v>896</v>
      </c>
      <c r="B300" s="417" t="s">
        <v>895</v>
      </c>
      <c r="C300" s="417" t="s">
        <v>11</v>
      </c>
    </row>
    <row r="301" spans="1:3" ht="12.75">
      <c r="A301" s="417" t="s">
        <v>898</v>
      </c>
      <c r="B301" s="417" t="s">
        <v>897</v>
      </c>
      <c r="C301" s="417" t="s">
        <v>11</v>
      </c>
    </row>
    <row r="302" spans="1:3" ht="12.75">
      <c r="A302" s="417" t="s">
        <v>900</v>
      </c>
      <c r="B302" s="417" t="s">
        <v>899</v>
      </c>
      <c r="C302" s="417" t="s">
        <v>11</v>
      </c>
    </row>
    <row r="303" spans="1:3" ht="12.75">
      <c r="A303" s="417" t="s">
        <v>902</v>
      </c>
      <c r="B303" s="417" t="s">
        <v>901</v>
      </c>
      <c r="C303" s="417" t="s">
        <v>11</v>
      </c>
    </row>
    <row r="304" spans="1:3" ht="12.75">
      <c r="A304" s="417" t="s">
        <v>904</v>
      </c>
      <c r="B304" s="417" t="s">
        <v>903</v>
      </c>
      <c r="C304" s="417" t="s">
        <v>11</v>
      </c>
    </row>
    <row r="305" spans="1:3" ht="12.75">
      <c r="A305" s="417" t="s">
        <v>906</v>
      </c>
      <c r="B305" s="417" t="s">
        <v>905</v>
      </c>
      <c r="C305" s="417" t="s">
        <v>11</v>
      </c>
    </row>
    <row r="306" spans="1:3" ht="12.75">
      <c r="A306" s="417" t="s">
        <v>908</v>
      </c>
      <c r="B306" s="417" t="s">
        <v>907</v>
      </c>
      <c r="C306" s="417" t="s">
        <v>11</v>
      </c>
    </row>
    <row r="307" spans="1:3" ht="12.75">
      <c r="A307" s="417" t="s">
        <v>910</v>
      </c>
      <c r="B307" s="417" t="s">
        <v>909</v>
      </c>
      <c r="C307" s="417" t="s">
        <v>11</v>
      </c>
    </row>
    <row r="308" spans="1:3" ht="12.75">
      <c r="A308" s="417" t="s">
        <v>912</v>
      </c>
      <c r="B308" s="417" t="s">
        <v>911</v>
      </c>
      <c r="C308" s="417" t="s">
        <v>11</v>
      </c>
    </row>
    <row r="309" spans="1:3" ht="12.75">
      <c r="A309" s="417" t="s">
        <v>914</v>
      </c>
      <c r="B309" s="417" t="s">
        <v>913</v>
      </c>
      <c r="C309" s="417" t="s">
        <v>11</v>
      </c>
    </row>
    <row r="310" spans="1:3" ht="12.75">
      <c r="A310" s="417" t="s">
        <v>916</v>
      </c>
      <c r="B310" s="417" t="s">
        <v>915</v>
      </c>
      <c r="C310" s="417" t="s">
        <v>11</v>
      </c>
    </row>
    <row r="311" spans="1:3" ht="12.75">
      <c r="A311" s="417" t="s">
        <v>918</v>
      </c>
      <c r="B311" s="417" t="s">
        <v>917</v>
      </c>
      <c r="C311" s="417" t="s">
        <v>11</v>
      </c>
    </row>
    <row r="312" spans="1:3" ht="12.75">
      <c r="A312" s="417" t="s">
        <v>920</v>
      </c>
      <c r="B312" s="417" t="s">
        <v>919</v>
      </c>
      <c r="C312" s="417" t="s">
        <v>11</v>
      </c>
    </row>
    <row r="313" spans="1:3" ht="12.75">
      <c r="A313" s="417" t="s">
        <v>922</v>
      </c>
      <c r="B313" s="417" t="s">
        <v>921</v>
      </c>
      <c r="C313" s="417" t="s">
        <v>11</v>
      </c>
    </row>
    <row r="314" spans="1:3" ht="12.75">
      <c r="A314" s="417" t="s">
        <v>924</v>
      </c>
      <c r="B314" s="417" t="s">
        <v>923</v>
      </c>
      <c r="C314" s="417" t="s">
        <v>11</v>
      </c>
    </row>
    <row r="315" spans="1:3" ht="12.75">
      <c r="A315" s="417" t="s">
        <v>926</v>
      </c>
      <c r="B315" s="417" t="s">
        <v>925</v>
      </c>
      <c r="C315" s="417" t="s">
        <v>11</v>
      </c>
    </row>
    <row r="316" spans="1:3" ht="12.75">
      <c r="A316" s="417" t="s">
        <v>928</v>
      </c>
      <c r="B316" s="417" t="s">
        <v>927</v>
      </c>
      <c r="C316" s="417" t="s">
        <v>11</v>
      </c>
    </row>
    <row r="317" spans="1:3" ht="12.75">
      <c r="A317" s="417" t="s">
        <v>930</v>
      </c>
      <c r="B317" s="417" t="s">
        <v>929</v>
      </c>
      <c r="C317" s="417" t="s">
        <v>11</v>
      </c>
    </row>
    <row r="318" spans="1:3" ht="12.75">
      <c r="A318" s="417" t="s">
        <v>932</v>
      </c>
      <c r="B318" s="417" t="s">
        <v>931</v>
      </c>
      <c r="C318" s="417" t="s">
        <v>11</v>
      </c>
    </row>
    <row r="319" spans="1:3" ht="12.75">
      <c r="A319" s="417" t="s">
        <v>934</v>
      </c>
      <c r="B319" s="417" t="s">
        <v>933</v>
      </c>
      <c r="C319" s="417" t="s">
        <v>11</v>
      </c>
    </row>
    <row r="320" spans="1:3" ht="12.75">
      <c r="A320" s="417" t="s">
        <v>936</v>
      </c>
      <c r="B320" s="417" t="s">
        <v>935</v>
      </c>
      <c r="C320" s="417" t="s">
        <v>11</v>
      </c>
    </row>
    <row r="321" spans="1:3" ht="12.75">
      <c r="A321" s="417" t="s">
        <v>938</v>
      </c>
      <c r="B321" s="417" t="s">
        <v>937</v>
      </c>
      <c r="C321" s="417" t="s">
        <v>11</v>
      </c>
    </row>
    <row r="322" spans="1:3" ht="12.75">
      <c r="A322" s="417" t="s">
        <v>940</v>
      </c>
      <c r="B322" s="417" t="s">
        <v>939</v>
      </c>
      <c r="C322" s="417" t="s">
        <v>11</v>
      </c>
    </row>
    <row r="323" spans="1:3" ht="12.75">
      <c r="A323" s="417" t="s">
        <v>942</v>
      </c>
      <c r="B323" s="417" t="s">
        <v>941</v>
      </c>
      <c r="C323" s="417" t="s">
        <v>11</v>
      </c>
    </row>
    <row r="324" spans="1:3" ht="12.75">
      <c r="A324" s="417" t="s">
        <v>944</v>
      </c>
      <c r="B324" s="417" t="s">
        <v>943</v>
      </c>
      <c r="C324" s="417" t="s">
        <v>11</v>
      </c>
    </row>
    <row r="325" spans="1:3" ht="12.75">
      <c r="A325" s="417" t="s">
        <v>946</v>
      </c>
      <c r="B325" s="417" t="s">
        <v>945</v>
      </c>
      <c r="C325" s="417" t="s">
        <v>11</v>
      </c>
    </row>
    <row r="326" spans="1:3" ht="12.75">
      <c r="A326" s="417" t="s">
        <v>948</v>
      </c>
      <c r="B326" s="417" t="s">
        <v>947</v>
      </c>
      <c r="C326" s="417" t="s">
        <v>11</v>
      </c>
    </row>
    <row r="327" spans="1:3" ht="12.75">
      <c r="A327" s="417" t="s">
        <v>950</v>
      </c>
      <c r="B327" s="417" t="s">
        <v>949</v>
      </c>
      <c r="C327" s="417" t="s">
        <v>11</v>
      </c>
    </row>
    <row r="328" spans="1:3" ht="12.75">
      <c r="A328" s="417" t="s">
        <v>952</v>
      </c>
      <c r="B328" s="417" t="s">
        <v>951</v>
      </c>
      <c r="C328" s="417" t="s">
        <v>11</v>
      </c>
    </row>
    <row r="329" spans="1:3" ht="12.75">
      <c r="A329" s="417" t="s">
        <v>954</v>
      </c>
      <c r="B329" s="417" t="s">
        <v>953</v>
      </c>
      <c r="C329" s="417" t="s">
        <v>11</v>
      </c>
    </row>
    <row r="330" spans="1:3" ht="12.75">
      <c r="A330" s="417" t="s">
        <v>956</v>
      </c>
      <c r="B330" s="417" t="s">
        <v>955</v>
      </c>
      <c r="C330" s="417" t="s">
        <v>11</v>
      </c>
    </row>
    <row r="331" spans="1:3" ht="12.75">
      <c r="A331" s="417" t="s">
        <v>958</v>
      </c>
      <c r="B331" s="417" t="s">
        <v>957</v>
      </c>
      <c r="C331" s="417" t="s">
        <v>11</v>
      </c>
    </row>
    <row r="332" spans="1:3" ht="12.75">
      <c r="A332" s="417" t="s">
        <v>960</v>
      </c>
      <c r="B332" s="417" t="s">
        <v>959</v>
      </c>
      <c r="C332" s="417" t="s">
        <v>11</v>
      </c>
    </row>
    <row r="333" spans="1:3" ht="12.75">
      <c r="A333" s="417" t="s">
        <v>962</v>
      </c>
      <c r="B333" s="417" t="s">
        <v>961</v>
      </c>
      <c r="C333" s="417" t="s">
        <v>11</v>
      </c>
    </row>
    <row r="334" spans="1:3" ht="12.75">
      <c r="A334" s="417" t="s">
        <v>964</v>
      </c>
      <c r="B334" s="417" t="s">
        <v>963</v>
      </c>
      <c r="C334" s="417" t="s">
        <v>11</v>
      </c>
    </row>
    <row r="335" spans="1:3" ht="12.75">
      <c r="A335" s="417" t="s">
        <v>966</v>
      </c>
      <c r="B335" s="417" t="s">
        <v>965</v>
      </c>
      <c r="C335" s="417" t="s">
        <v>11</v>
      </c>
    </row>
    <row r="336" spans="1:3" ht="12.75">
      <c r="A336" s="417" t="s">
        <v>968</v>
      </c>
      <c r="B336" s="417" t="s">
        <v>967</v>
      </c>
      <c r="C336" s="417" t="s">
        <v>11</v>
      </c>
    </row>
    <row r="337" spans="1:3" ht="12.75">
      <c r="A337" s="417" t="s">
        <v>970</v>
      </c>
      <c r="B337" s="417" t="s">
        <v>969</v>
      </c>
      <c r="C337" s="417" t="s">
        <v>11</v>
      </c>
    </row>
    <row r="338" spans="1:3" ht="12.75">
      <c r="A338" s="417" t="s">
        <v>972</v>
      </c>
      <c r="B338" s="417" t="s">
        <v>971</v>
      </c>
      <c r="C338" s="417" t="s">
        <v>11</v>
      </c>
    </row>
    <row r="339" spans="1:3" ht="12.75">
      <c r="A339" s="417" t="s">
        <v>974</v>
      </c>
      <c r="B339" s="417" t="s">
        <v>973</v>
      </c>
      <c r="C339" s="417" t="s">
        <v>11</v>
      </c>
    </row>
    <row r="340" spans="1:3" ht="12.75">
      <c r="A340" s="417" t="s">
        <v>976</v>
      </c>
      <c r="B340" s="417" t="s">
        <v>975</v>
      </c>
      <c r="C340" s="417" t="s">
        <v>12</v>
      </c>
    </row>
    <row r="341" spans="1:3" ht="12.75">
      <c r="A341" s="417" t="s">
        <v>978</v>
      </c>
      <c r="B341" s="417" t="s">
        <v>977</v>
      </c>
      <c r="C341" s="417" t="s">
        <v>12</v>
      </c>
    </row>
    <row r="342" spans="1:3" ht="12.75">
      <c r="A342" s="417" t="s">
        <v>980</v>
      </c>
      <c r="B342" s="417" t="s">
        <v>979</v>
      </c>
      <c r="C342" s="417" t="s">
        <v>12</v>
      </c>
    </row>
    <row r="343" spans="1:3" ht="12.75">
      <c r="A343" s="417" t="s">
        <v>982</v>
      </c>
      <c r="B343" s="417" t="s">
        <v>981</v>
      </c>
      <c r="C343" s="417" t="s">
        <v>12</v>
      </c>
    </row>
    <row r="344" spans="1:3" ht="12.75">
      <c r="A344" s="417" t="s">
        <v>984</v>
      </c>
      <c r="B344" s="417" t="s">
        <v>983</v>
      </c>
      <c r="C344" s="417" t="s">
        <v>12</v>
      </c>
    </row>
    <row r="345" spans="1:3" ht="12.75">
      <c r="A345" s="417" t="s">
        <v>986</v>
      </c>
      <c r="B345" s="417" t="s">
        <v>985</v>
      </c>
      <c r="C345" s="417" t="s">
        <v>12</v>
      </c>
    </row>
    <row r="346" spans="1:3" ht="12.75">
      <c r="A346" s="417" t="s">
        <v>988</v>
      </c>
      <c r="B346" s="417" t="s">
        <v>987</v>
      </c>
      <c r="C346" s="417" t="s">
        <v>12</v>
      </c>
    </row>
    <row r="347" spans="1:3" ht="12.75">
      <c r="A347" s="417" t="s">
        <v>990</v>
      </c>
      <c r="B347" s="417" t="s">
        <v>989</v>
      </c>
      <c r="C347" s="417" t="s">
        <v>12</v>
      </c>
    </row>
    <row r="348" spans="1:3" ht="12.75">
      <c r="A348" s="417" t="s">
        <v>992</v>
      </c>
      <c r="B348" s="417" t="s">
        <v>991</v>
      </c>
      <c r="C348" s="417" t="s">
        <v>12</v>
      </c>
    </row>
    <row r="349" spans="1:3" ht="12.75">
      <c r="A349" s="417" t="s">
        <v>994</v>
      </c>
      <c r="B349" s="417" t="s">
        <v>993</v>
      </c>
      <c r="C349" s="417" t="s">
        <v>12</v>
      </c>
    </row>
    <row r="350" spans="1:3" ht="12.75">
      <c r="A350" s="417" t="s">
        <v>996</v>
      </c>
      <c r="B350" s="417" t="s">
        <v>995</v>
      </c>
      <c r="C350" s="417" t="s">
        <v>12</v>
      </c>
    </row>
    <row r="351" spans="1:3" ht="12.75">
      <c r="A351" s="417" t="s">
        <v>998</v>
      </c>
      <c r="B351" s="417" t="s">
        <v>997</v>
      </c>
      <c r="C351" s="417" t="s">
        <v>12</v>
      </c>
    </row>
    <row r="352" spans="1:3" ht="12.75">
      <c r="A352" s="417" t="s">
        <v>1000</v>
      </c>
      <c r="B352" s="417" t="s">
        <v>999</v>
      </c>
      <c r="C352" s="417" t="s">
        <v>12</v>
      </c>
    </row>
    <row r="353" spans="1:3" ht="12.75">
      <c r="A353" s="417" t="s">
        <v>1002</v>
      </c>
      <c r="B353" s="417" t="s">
        <v>1001</v>
      </c>
      <c r="C353" s="417" t="s">
        <v>12</v>
      </c>
    </row>
    <row r="354" spans="1:3" ht="12.75">
      <c r="A354" s="417" t="s">
        <v>1004</v>
      </c>
      <c r="B354" s="417" t="s">
        <v>1003</v>
      </c>
      <c r="C354" s="417" t="s">
        <v>12</v>
      </c>
    </row>
    <row r="355" spans="1:3" ht="12.75">
      <c r="A355" s="417" t="s">
        <v>1006</v>
      </c>
      <c r="B355" s="417" t="s">
        <v>1005</v>
      </c>
      <c r="C355" s="417" t="s">
        <v>12</v>
      </c>
    </row>
    <row r="356" spans="1:3" ht="12.75">
      <c r="A356" s="417" t="s">
        <v>1008</v>
      </c>
      <c r="B356" s="417" t="s">
        <v>1007</v>
      </c>
      <c r="C356" s="417" t="s">
        <v>12</v>
      </c>
    </row>
    <row r="357" spans="1:3" ht="12.75">
      <c r="A357" s="417" t="s">
        <v>1010</v>
      </c>
      <c r="B357" s="417" t="s">
        <v>1009</v>
      </c>
      <c r="C357" s="417" t="s">
        <v>12</v>
      </c>
    </row>
    <row r="358" spans="1:3" ht="12.75">
      <c r="A358" s="417" t="s">
        <v>1012</v>
      </c>
      <c r="B358" s="417" t="s">
        <v>1011</v>
      </c>
      <c r="C358" s="417" t="s">
        <v>12</v>
      </c>
    </row>
    <row r="359" spans="1:3" ht="12.75">
      <c r="A359" s="417" t="s">
        <v>1014</v>
      </c>
      <c r="B359" s="417" t="s">
        <v>1013</v>
      </c>
      <c r="C359" s="417" t="s">
        <v>12</v>
      </c>
    </row>
    <row r="360" spans="1:3" ht="12.75">
      <c r="A360" s="417" t="s">
        <v>1016</v>
      </c>
      <c r="B360" s="417" t="s">
        <v>1015</v>
      </c>
      <c r="C360" s="417" t="s">
        <v>12</v>
      </c>
    </row>
    <row r="361" spans="1:3" ht="12.75">
      <c r="A361" s="417" t="s">
        <v>1018</v>
      </c>
      <c r="B361" s="417" t="s">
        <v>1017</v>
      </c>
      <c r="C361" s="417" t="s">
        <v>12</v>
      </c>
    </row>
    <row r="362" spans="1:3" ht="12.75">
      <c r="A362" s="417" t="s">
        <v>1020</v>
      </c>
      <c r="B362" s="417" t="s">
        <v>1019</v>
      </c>
      <c r="C362" s="417" t="s">
        <v>12</v>
      </c>
    </row>
    <row r="363" spans="1:3" ht="12.75">
      <c r="A363" s="417" t="s">
        <v>1022</v>
      </c>
      <c r="B363" s="417" t="s">
        <v>1021</v>
      </c>
      <c r="C363" s="417" t="s">
        <v>12</v>
      </c>
    </row>
    <row r="364" spans="1:3" ht="12.75">
      <c r="A364" s="417" t="s">
        <v>1024</v>
      </c>
      <c r="B364" s="417" t="s">
        <v>1023</v>
      </c>
      <c r="C364" s="417" t="s">
        <v>12</v>
      </c>
    </row>
    <row r="365" spans="1:3" ht="12.75">
      <c r="A365" s="417" t="s">
        <v>1026</v>
      </c>
      <c r="B365" s="417" t="s">
        <v>1025</v>
      </c>
      <c r="C365" s="417" t="s">
        <v>12</v>
      </c>
    </row>
    <row r="366" spans="1:3" ht="12.75">
      <c r="A366" s="417" t="s">
        <v>1028</v>
      </c>
      <c r="B366" s="417" t="s">
        <v>1027</v>
      </c>
      <c r="C366" s="417" t="s">
        <v>12</v>
      </c>
    </row>
    <row r="367" spans="1:3" ht="12.75">
      <c r="A367" s="417" t="s">
        <v>1030</v>
      </c>
      <c r="B367" s="417" t="s">
        <v>1029</v>
      </c>
      <c r="C367" s="417" t="s">
        <v>12</v>
      </c>
    </row>
    <row r="368" spans="1:3" ht="12.75">
      <c r="A368" s="417" t="s">
        <v>1032</v>
      </c>
      <c r="B368" s="417" t="s">
        <v>1031</v>
      </c>
      <c r="C368" s="417" t="s">
        <v>12</v>
      </c>
    </row>
    <row r="369" spans="1:3" ht="12.75">
      <c r="A369" s="417" t="s">
        <v>1034</v>
      </c>
      <c r="B369" s="417" t="s">
        <v>1033</v>
      </c>
      <c r="C369" s="417" t="s">
        <v>12</v>
      </c>
    </row>
    <row r="370" spans="1:3" ht="12.75">
      <c r="A370" s="417" t="s">
        <v>1036</v>
      </c>
      <c r="B370" s="417" t="s">
        <v>1035</v>
      </c>
      <c r="C370" s="417" t="s">
        <v>12</v>
      </c>
    </row>
    <row r="371" spans="1:3" ht="12.75">
      <c r="A371" s="417" t="s">
        <v>1038</v>
      </c>
      <c r="B371" s="417" t="s">
        <v>1037</v>
      </c>
      <c r="C371" s="417" t="s">
        <v>12</v>
      </c>
    </row>
    <row r="372" spans="1:3" ht="12.75">
      <c r="A372" s="417" t="s">
        <v>1040</v>
      </c>
      <c r="B372" s="417" t="s">
        <v>1039</v>
      </c>
      <c r="C372" s="417" t="s">
        <v>12</v>
      </c>
    </row>
    <row r="373" spans="1:3" ht="12.75">
      <c r="A373" s="417" t="s">
        <v>1042</v>
      </c>
      <c r="B373" s="417" t="s">
        <v>1041</v>
      </c>
      <c r="C373" s="417" t="s">
        <v>11</v>
      </c>
    </row>
    <row r="374" spans="1:3" ht="12.75">
      <c r="A374" s="417" t="s">
        <v>1044</v>
      </c>
      <c r="B374" s="417" t="s">
        <v>1043</v>
      </c>
      <c r="C374" s="417" t="s">
        <v>11</v>
      </c>
    </row>
    <row r="375" spans="1:3" ht="12.75">
      <c r="A375" s="417" t="s">
        <v>1046</v>
      </c>
      <c r="B375" s="417" t="s">
        <v>1045</v>
      </c>
      <c r="C375" s="417" t="s">
        <v>12</v>
      </c>
    </row>
    <row r="376" spans="1:3" ht="12.75">
      <c r="A376" s="417" t="s">
        <v>1048</v>
      </c>
      <c r="B376" s="417" t="s">
        <v>1047</v>
      </c>
      <c r="C376" s="417" t="s">
        <v>12</v>
      </c>
    </row>
    <row r="377" spans="1:3" ht="12.75">
      <c r="A377" s="417" t="s">
        <v>1050</v>
      </c>
      <c r="B377" s="417" t="s">
        <v>1049</v>
      </c>
      <c r="C377" s="417" t="s">
        <v>11</v>
      </c>
    </row>
    <row r="378" spans="1:3" ht="12.75">
      <c r="A378" s="417" t="s">
        <v>1052</v>
      </c>
      <c r="B378" s="417" t="s">
        <v>1051</v>
      </c>
      <c r="C378" s="417" t="s">
        <v>11</v>
      </c>
    </row>
    <row r="379" spans="1:3" ht="12.75">
      <c r="A379" s="417" t="s">
        <v>1054</v>
      </c>
      <c r="B379" s="417" t="s">
        <v>1053</v>
      </c>
      <c r="C379" s="417" t="s">
        <v>11</v>
      </c>
    </row>
    <row r="380" spans="1:3" ht="12.75">
      <c r="A380" s="417" t="s">
        <v>1056</v>
      </c>
      <c r="B380" s="417" t="s">
        <v>1055</v>
      </c>
      <c r="C380" s="417" t="s">
        <v>11</v>
      </c>
    </row>
    <row r="381" spans="1:3" ht="12.75">
      <c r="A381" s="417" t="s">
        <v>1058</v>
      </c>
      <c r="B381" s="417" t="s">
        <v>1057</v>
      </c>
      <c r="C381" s="417" t="s">
        <v>12</v>
      </c>
    </row>
    <row r="382" spans="1:3" ht="12.75">
      <c r="A382" s="417" t="s">
        <v>1060</v>
      </c>
      <c r="B382" s="417" t="s">
        <v>1059</v>
      </c>
      <c r="C382" s="417" t="s">
        <v>12</v>
      </c>
    </row>
    <row r="383" spans="1:3" ht="12.75">
      <c r="A383" s="417" t="s">
        <v>1062</v>
      </c>
      <c r="B383" s="417" t="s">
        <v>1061</v>
      </c>
      <c r="C383" s="417" t="s">
        <v>12</v>
      </c>
    </row>
    <row r="384" spans="1:3" ht="12.75">
      <c r="A384" s="417" t="s">
        <v>1064</v>
      </c>
      <c r="B384" s="417" t="s">
        <v>1063</v>
      </c>
      <c r="C384" s="417" t="s">
        <v>12</v>
      </c>
    </row>
    <row r="385" spans="1:3" ht="12.75">
      <c r="A385" s="417" t="s">
        <v>1066</v>
      </c>
      <c r="B385" s="417" t="s">
        <v>1065</v>
      </c>
      <c r="C385" s="417" t="s">
        <v>385</v>
      </c>
    </row>
    <row r="386" spans="1:3" ht="12.75">
      <c r="A386" s="417" t="s">
        <v>1068</v>
      </c>
      <c r="B386" s="417" t="s">
        <v>1067</v>
      </c>
      <c r="C386" s="417" t="s">
        <v>12</v>
      </c>
    </row>
    <row r="387" spans="1:3" ht="12.75">
      <c r="A387" s="417" t="s">
        <v>1070</v>
      </c>
      <c r="B387" s="417" t="s">
        <v>1069</v>
      </c>
      <c r="C387" s="417" t="s">
        <v>12</v>
      </c>
    </row>
    <row r="388" spans="1:3" ht="12.75">
      <c r="A388" s="417" t="s">
        <v>1072</v>
      </c>
      <c r="B388" s="417" t="s">
        <v>1071</v>
      </c>
      <c r="C388" s="417" t="s">
        <v>12</v>
      </c>
    </row>
    <row r="389" spans="1:3" ht="12.75">
      <c r="A389" s="417" t="s">
        <v>1074</v>
      </c>
      <c r="B389" s="417" t="s">
        <v>1073</v>
      </c>
      <c r="C389" s="417" t="s">
        <v>12</v>
      </c>
    </row>
    <row r="390" spans="1:3" ht="12.75">
      <c r="A390" s="417" t="s">
        <v>1076</v>
      </c>
      <c r="B390" s="417" t="s">
        <v>1075</v>
      </c>
      <c r="C390" s="417" t="s">
        <v>12</v>
      </c>
    </row>
    <row r="391" spans="1:3" ht="12.75">
      <c r="A391" s="417" t="s">
        <v>1078</v>
      </c>
      <c r="B391" s="417" t="s">
        <v>1077</v>
      </c>
      <c r="C391" s="417" t="s">
        <v>12</v>
      </c>
    </row>
    <row r="392" spans="1:3" ht="12.75">
      <c r="A392" s="417" t="s">
        <v>1080</v>
      </c>
      <c r="B392" s="417" t="s">
        <v>1079</v>
      </c>
      <c r="C392" s="417" t="s">
        <v>12</v>
      </c>
    </row>
    <row r="393" spans="1:3" ht="12.75">
      <c r="A393" s="417" t="s">
        <v>1082</v>
      </c>
      <c r="B393" s="417" t="s">
        <v>1081</v>
      </c>
      <c r="C393" s="417" t="s">
        <v>12</v>
      </c>
    </row>
    <row r="394" spans="1:3" ht="12.75">
      <c r="A394" s="417" t="s">
        <v>1084</v>
      </c>
      <c r="B394" s="417" t="s">
        <v>1083</v>
      </c>
      <c r="C394" s="417" t="s">
        <v>12</v>
      </c>
    </row>
    <row r="395" spans="1:3" ht="12.75">
      <c r="A395" s="417" t="s">
        <v>1086</v>
      </c>
      <c r="B395" s="417" t="s">
        <v>1085</v>
      </c>
      <c r="C395" s="417" t="s">
        <v>12</v>
      </c>
    </row>
    <row r="396" spans="1:3" ht="12.75">
      <c r="A396" s="417" t="s">
        <v>1088</v>
      </c>
      <c r="B396" s="417" t="s">
        <v>1087</v>
      </c>
      <c r="C396" s="417" t="s">
        <v>12</v>
      </c>
    </row>
    <row r="397" spans="1:3" ht="12.75">
      <c r="A397" s="417" t="s">
        <v>1090</v>
      </c>
      <c r="B397" s="417" t="s">
        <v>1089</v>
      </c>
      <c r="C397" s="417" t="s">
        <v>12</v>
      </c>
    </row>
    <row r="398" spans="1:3" ht="12.75">
      <c r="A398" s="417" t="s">
        <v>1092</v>
      </c>
      <c r="B398" s="417" t="s">
        <v>1091</v>
      </c>
      <c r="C398" s="417" t="s">
        <v>12</v>
      </c>
    </row>
    <row r="399" spans="1:3" ht="12.75">
      <c r="A399" s="417" t="s">
        <v>1094</v>
      </c>
      <c r="B399" s="417" t="s">
        <v>1093</v>
      </c>
      <c r="C399" s="417" t="s">
        <v>12</v>
      </c>
    </row>
    <row r="400" spans="1:3" ht="12.75">
      <c r="A400" s="417" t="s">
        <v>1094</v>
      </c>
      <c r="B400" s="417" t="s">
        <v>1095</v>
      </c>
      <c r="C400" s="417" t="s">
        <v>12</v>
      </c>
    </row>
    <row r="401" spans="1:3" ht="12.75">
      <c r="A401" s="417" t="s">
        <v>1097</v>
      </c>
      <c r="B401" s="417" t="s">
        <v>1096</v>
      </c>
      <c r="C401" s="417" t="s">
        <v>12</v>
      </c>
    </row>
    <row r="402" spans="1:3" ht="12.75">
      <c r="A402" s="417" t="s">
        <v>1094</v>
      </c>
      <c r="B402" s="417" t="s">
        <v>1098</v>
      </c>
      <c r="C402" s="417" t="s">
        <v>12</v>
      </c>
    </row>
    <row r="403" spans="1:3" ht="12.75">
      <c r="A403" s="417" t="s">
        <v>1100</v>
      </c>
      <c r="B403" s="417" t="s">
        <v>1099</v>
      </c>
      <c r="C403" s="417" t="s">
        <v>12</v>
      </c>
    </row>
    <row r="404" spans="1:3" ht="12.75">
      <c r="A404" s="417" t="s">
        <v>1094</v>
      </c>
      <c r="B404" s="417" t="s">
        <v>1101</v>
      </c>
      <c r="C404" s="417" t="s">
        <v>12</v>
      </c>
    </row>
    <row r="405" spans="1:3" ht="12.75">
      <c r="A405" s="417" t="s">
        <v>1103</v>
      </c>
      <c r="B405" s="417" t="s">
        <v>1102</v>
      </c>
      <c r="C405" s="417" t="s">
        <v>12</v>
      </c>
    </row>
    <row r="406" spans="1:3" ht="12.75">
      <c r="A406" s="417" t="s">
        <v>1094</v>
      </c>
      <c r="B406" s="417" t="s">
        <v>1104</v>
      </c>
      <c r="C406" s="417" t="s">
        <v>12</v>
      </c>
    </row>
    <row r="407" spans="1:3" ht="12.75">
      <c r="A407" s="417" t="s">
        <v>1106</v>
      </c>
      <c r="B407" s="417" t="s">
        <v>1105</v>
      </c>
      <c r="C407" s="417" t="s">
        <v>12</v>
      </c>
    </row>
    <row r="408" spans="1:3" ht="12.75">
      <c r="A408" s="417" t="s">
        <v>1108</v>
      </c>
      <c r="B408" s="417" t="s">
        <v>1107</v>
      </c>
      <c r="C408" s="417" t="s">
        <v>12</v>
      </c>
    </row>
    <row r="409" spans="1:3" ht="12.75">
      <c r="A409" s="417" t="s">
        <v>1110</v>
      </c>
      <c r="B409" s="417" t="s">
        <v>1109</v>
      </c>
      <c r="C409" s="417" t="s">
        <v>12</v>
      </c>
    </row>
    <row r="410" spans="1:3" ht="12.75">
      <c r="A410" s="417" t="s">
        <v>1094</v>
      </c>
      <c r="B410" s="417" t="s">
        <v>1111</v>
      </c>
      <c r="C410" s="417" t="s">
        <v>12</v>
      </c>
    </row>
    <row r="411" spans="1:3" ht="12.75">
      <c r="A411" s="417" t="s">
        <v>1113</v>
      </c>
      <c r="B411" s="417" t="s">
        <v>1112</v>
      </c>
      <c r="C411" s="417" t="s">
        <v>12</v>
      </c>
    </row>
    <row r="412" spans="1:3" ht="12.75">
      <c r="A412" s="417" t="s">
        <v>1094</v>
      </c>
      <c r="B412" s="417" t="s">
        <v>1114</v>
      </c>
      <c r="C412" s="417" t="s">
        <v>12</v>
      </c>
    </row>
    <row r="413" spans="1:3" ht="12.75">
      <c r="A413" s="417" t="s">
        <v>1116</v>
      </c>
      <c r="B413" s="417" t="s">
        <v>1115</v>
      </c>
      <c r="C413" s="417" t="s">
        <v>12</v>
      </c>
    </row>
    <row r="414" spans="1:3" ht="12.75">
      <c r="A414" s="417" t="s">
        <v>1094</v>
      </c>
      <c r="B414" s="417" t="s">
        <v>1117</v>
      </c>
      <c r="C414" s="417" t="s">
        <v>12</v>
      </c>
    </row>
    <row r="415" spans="1:3" ht="12.75">
      <c r="A415" s="417" t="s">
        <v>1119</v>
      </c>
      <c r="B415" s="417" t="s">
        <v>1118</v>
      </c>
      <c r="C415" s="417" t="s">
        <v>12</v>
      </c>
    </row>
    <row r="416" spans="1:3" ht="12.75">
      <c r="A416" s="417" t="s">
        <v>1094</v>
      </c>
      <c r="B416" s="417" t="s">
        <v>1120</v>
      </c>
      <c r="C416" s="417" t="s">
        <v>12</v>
      </c>
    </row>
    <row r="417" spans="1:3" ht="12.75">
      <c r="A417" s="417" t="s">
        <v>1122</v>
      </c>
      <c r="B417" s="417" t="s">
        <v>1121</v>
      </c>
      <c r="C417" s="417" t="s">
        <v>12</v>
      </c>
    </row>
    <row r="418" spans="1:3" ht="12.75">
      <c r="A418" s="417" t="s">
        <v>1124</v>
      </c>
      <c r="B418" s="417" t="s">
        <v>1123</v>
      </c>
      <c r="C418" s="417" t="s">
        <v>12</v>
      </c>
    </row>
    <row r="419" spans="1:3" ht="12.75">
      <c r="A419" s="417" t="s">
        <v>1126</v>
      </c>
      <c r="B419" s="417" t="s">
        <v>1125</v>
      </c>
      <c r="C419" s="417" t="s">
        <v>12</v>
      </c>
    </row>
    <row r="420" spans="1:3" ht="12.75">
      <c r="A420" s="417" t="s">
        <v>1128</v>
      </c>
      <c r="B420" s="417" t="s">
        <v>1127</v>
      </c>
      <c r="C420" s="417" t="s">
        <v>12</v>
      </c>
    </row>
    <row r="421" spans="1:3" ht="12.75">
      <c r="A421" s="417" t="s">
        <v>1130</v>
      </c>
      <c r="B421" s="417" t="s">
        <v>1129</v>
      </c>
      <c r="C421" s="417" t="s">
        <v>12</v>
      </c>
    </row>
    <row r="422" spans="1:3" ht="12.75">
      <c r="A422" s="417" t="s">
        <v>1132</v>
      </c>
      <c r="B422" s="417" t="s">
        <v>1131</v>
      </c>
      <c r="C422" s="417" t="s">
        <v>12</v>
      </c>
    </row>
    <row r="423" spans="1:3" ht="12.75">
      <c r="A423" s="417" t="s">
        <v>1134</v>
      </c>
      <c r="B423" s="417" t="s">
        <v>1133</v>
      </c>
      <c r="C423" s="417" t="s">
        <v>12</v>
      </c>
    </row>
    <row r="424" spans="1:3" ht="12.75">
      <c r="A424" s="417" t="s">
        <v>1136</v>
      </c>
      <c r="B424" s="417" t="s">
        <v>1135</v>
      </c>
      <c r="C424" s="417" t="s">
        <v>12</v>
      </c>
    </row>
    <row r="425" spans="1:3" ht="12.75">
      <c r="A425" s="417" t="s">
        <v>1138</v>
      </c>
      <c r="B425" s="417" t="s">
        <v>1137</v>
      </c>
      <c r="C425" s="417" t="s">
        <v>12</v>
      </c>
    </row>
    <row r="426" spans="1:3" ht="12.75">
      <c r="A426" s="417" t="s">
        <v>1140</v>
      </c>
      <c r="B426" s="417" t="s">
        <v>1139</v>
      </c>
      <c r="C426" s="417" t="s">
        <v>12</v>
      </c>
    </row>
    <row r="427" spans="1:3" ht="12.75">
      <c r="A427" s="417" t="s">
        <v>1142</v>
      </c>
      <c r="B427" s="417" t="s">
        <v>1141</v>
      </c>
      <c r="C427" s="417" t="s">
        <v>12</v>
      </c>
    </row>
    <row r="428" spans="1:3" ht="12.75">
      <c r="A428" s="417" t="s">
        <v>1144</v>
      </c>
      <c r="B428" s="417" t="s">
        <v>1143</v>
      </c>
      <c r="C428" s="417" t="s">
        <v>12</v>
      </c>
    </row>
    <row r="429" spans="1:3" ht="12.75">
      <c r="A429" s="417" t="s">
        <v>1146</v>
      </c>
      <c r="B429" s="417" t="s">
        <v>1145</v>
      </c>
      <c r="C429" s="417" t="s">
        <v>12</v>
      </c>
    </row>
    <row r="430" spans="1:3" ht="12.75">
      <c r="A430" s="417" t="s">
        <v>1148</v>
      </c>
      <c r="B430" s="417" t="s">
        <v>1147</v>
      </c>
      <c r="C430" s="417" t="s">
        <v>12</v>
      </c>
    </row>
    <row r="431" spans="1:3" ht="12.75">
      <c r="A431" s="417" t="s">
        <v>1150</v>
      </c>
      <c r="B431" s="417" t="s">
        <v>1149</v>
      </c>
      <c r="C431" s="417" t="s">
        <v>12</v>
      </c>
    </row>
    <row r="432" spans="1:3" ht="12.75">
      <c r="A432" s="417" t="s">
        <v>1152</v>
      </c>
      <c r="B432" s="417" t="s">
        <v>1151</v>
      </c>
      <c r="C432" s="417" t="s">
        <v>12</v>
      </c>
    </row>
    <row r="433" spans="1:3" ht="12.75">
      <c r="A433" s="417" t="s">
        <v>1154</v>
      </c>
      <c r="B433" s="417" t="s">
        <v>1153</v>
      </c>
      <c r="C433" s="417" t="s">
        <v>12</v>
      </c>
    </row>
    <row r="434" spans="1:3" ht="12.75">
      <c r="A434" s="417" t="s">
        <v>1156</v>
      </c>
      <c r="B434" s="417" t="s">
        <v>1155</v>
      </c>
      <c r="C434" s="417" t="s">
        <v>12</v>
      </c>
    </row>
    <row r="435" spans="1:3" ht="12.75">
      <c r="A435" s="417" t="s">
        <v>1158</v>
      </c>
      <c r="B435" s="417" t="s">
        <v>1157</v>
      </c>
      <c r="C435" s="417" t="s">
        <v>12</v>
      </c>
    </row>
    <row r="436" spans="1:3" ht="12.75">
      <c r="A436" s="417" t="s">
        <v>1160</v>
      </c>
      <c r="B436" s="417" t="s">
        <v>1159</v>
      </c>
      <c r="C436" s="417" t="s">
        <v>12</v>
      </c>
    </row>
    <row r="437" spans="1:3" ht="12.75">
      <c r="A437" s="417" t="s">
        <v>1162</v>
      </c>
      <c r="B437" s="417" t="s">
        <v>1161</v>
      </c>
      <c r="C437" s="417" t="s">
        <v>12</v>
      </c>
    </row>
    <row r="438" spans="1:3" ht="12.75">
      <c r="A438" s="417" t="s">
        <v>1164</v>
      </c>
      <c r="B438" s="417" t="s">
        <v>1163</v>
      </c>
      <c r="C438" s="417" t="s">
        <v>12</v>
      </c>
    </row>
    <row r="439" spans="1:3" ht="12.75">
      <c r="A439" s="417" t="s">
        <v>1166</v>
      </c>
      <c r="B439" s="417" t="s">
        <v>1165</v>
      </c>
      <c r="C439" s="417" t="s">
        <v>12</v>
      </c>
    </row>
    <row r="440" spans="1:3" ht="12.75">
      <c r="A440" s="417" t="s">
        <v>1168</v>
      </c>
      <c r="B440" s="417" t="s">
        <v>1167</v>
      </c>
      <c r="C440" s="417" t="s">
        <v>12</v>
      </c>
    </row>
    <row r="441" spans="1:3" ht="12.75">
      <c r="A441" s="417" t="s">
        <v>1170</v>
      </c>
      <c r="B441" s="417" t="s">
        <v>1169</v>
      </c>
      <c r="C441" s="417" t="s">
        <v>12</v>
      </c>
    </row>
    <row r="442" spans="1:3" ht="12.75">
      <c r="A442" s="417" t="s">
        <v>1172</v>
      </c>
      <c r="B442" s="417" t="s">
        <v>1171</v>
      </c>
      <c r="C442" s="417" t="s">
        <v>12</v>
      </c>
    </row>
    <row r="443" spans="1:3" ht="12.75">
      <c r="A443" s="417" t="s">
        <v>1174</v>
      </c>
      <c r="B443" s="417" t="s">
        <v>1173</v>
      </c>
      <c r="C443" s="417" t="s">
        <v>12</v>
      </c>
    </row>
    <row r="444" spans="1:3" ht="12.75">
      <c r="A444" s="417" t="s">
        <v>1176</v>
      </c>
      <c r="B444" s="417" t="s">
        <v>1175</v>
      </c>
      <c r="C444" s="417" t="s">
        <v>12</v>
      </c>
    </row>
    <row r="445" spans="1:3" ht="12.75">
      <c r="A445" s="417" t="s">
        <v>1178</v>
      </c>
      <c r="B445" s="417" t="s">
        <v>1177</v>
      </c>
      <c r="C445" s="417" t="s">
        <v>12</v>
      </c>
    </row>
    <row r="446" spans="1:3" ht="12.75">
      <c r="A446" s="417" t="s">
        <v>1180</v>
      </c>
      <c r="B446" s="417" t="s">
        <v>1179</v>
      </c>
      <c r="C446" s="417" t="s">
        <v>12</v>
      </c>
    </row>
    <row r="447" spans="1:3" ht="12.75">
      <c r="A447" s="417" t="s">
        <v>1182</v>
      </c>
      <c r="B447" s="417" t="s">
        <v>1181</v>
      </c>
      <c r="C447" s="417" t="s">
        <v>385</v>
      </c>
    </row>
    <row r="448" spans="1:3" ht="12.75">
      <c r="A448" s="417" t="s">
        <v>1184</v>
      </c>
      <c r="B448" s="417" t="s">
        <v>1183</v>
      </c>
      <c r="C448" s="417" t="s">
        <v>13</v>
      </c>
    </row>
    <row r="449" spans="1:3" ht="12.75">
      <c r="A449" s="417" t="s">
        <v>1186</v>
      </c>
      <c r="B449" s="417" t="s">
        <v>1185</v>
      </c>
      <c r="C449" s="417" t="s">
        <v>13</v>
      </c>
    </row>
    <row r="450" spans="1:3" ht="12.75">
      <c r="A450" s="417" t="s">
        <v>210</v>
      </c>
      <c r="B450" s="417" t="s">
        <v>1187</v>
      </c>
      <c r="C450" s="417" t="s">
        <v>409</v>
      </c>
    </row>
    <row r="451" spans="1:3" ht="12.75">
      <c r="A451" s="417" t="s">
        <v>163</v>
      </c>
      <c r="B451" s="417" t="s">
        <v>1188</v>
      </c>
      <c r="C451" s="417" t="s">
        <v>10</v>
      </c>
    </row>
    <row r="452" spans="1:3" ht="12.75">
      <c r="A452" s="417" t="s">
        <v>164</v>
      </c>
      <c r="B452" s="417" t="s">
        <v>1189</v>
      </c>
      <c r="C452" s="417" t="s">
        <v>385</v>
      </c>
    </row>
    <row r="453" spans="1:3" ht="12.75">
      <c r="A453" s="417" t="s">
        <v>324</v>
      </c>
      <c r="B453" s="417" t="s">
        <v>1190</v>
      </c>
      <c r="C453" s="417" t="s">
        <v>409</v>
      </c>
    </row>
    <row r="454" spans="1:3" ht="12.75">
      <c r="A454" s="417" t="s">
        <v>339</v>
      </c>
      <c r="B454" s="417" t="s">
        <v>337</v>
      </c>
      <c r="C454" s="417" t="s">
        <v>409</v>
      </c>
    </row>
    <row r="455" spans="1:3" ht="12.75">
      <c r="A455" s="417" t="s">
        <v>340</v>
      </c>
      <c r="B455" s="417" t="s">
        <v>338</v>
      </c>
      <c r="C455" s="417" t="s">
        <v>409</v>
      </c>
    </row>
    <row r="456" spans="1:3" ht="12.75">
      <c r="A456" s="417" t="s">
        <v>1192</v>
      </c>
      <c r="B456" s="417" t="s">
        <v>1191</v>
      </c>
      <c r="C456" s="417" t="s">
        <v>10</v>
      </c>
    </row>
    <row r="457" spans="1:3" ht="12.75">
      <c r="A457" s="417" t="s">
        <v>1194</v>
      </c>
      <c r="B457" s="417" t="s">
        <v>1193</v>
      </c>
      <c r="C457" s="417" t="s">
        <v>10</v>
      </c>
    </row>
    <row r="458" spans="1:3" ht="12.75">
      <c r="A458" s="417" t="s">
        <v>1196</v>
      </c>
      <c r="B458" s="417" t="s">
        <v>1195</v>
      </c>
      <c r="C458" s="417" t="s">
        <v>10</v>
      </c>
    </row>
    <row r="459" spans="1:3" ht="12.75">
      <c r="A459" s="417" t="s">
        <v>1198</v>
      </c>
      <c r="B459" s="417" t="s">
        <v>1197</v>
      </c>
      <c r="C459" s="417" t="s">
        <v>10</v>
      </c>
    </row>
    <row r="460" spans="1:3" ht="12.75">
      <c r="A460" s="417" t="s">
        <v>1200</v>
      </c>
      <c r="B460" s="417" t="s">
        <v>1199</v>
      </c>
      <c r="C460" s="417" t="s">
        <v>12</v>
      </c>
    </row>
    <row r="461" spans="1:3" ht="12.75">
      <c r="A461" s="417" t="s">
        <v>1202</v>
      </c>
      <c r="B461" s="417" t="s">
        <v>1201</v>
      </c>
      <c r="C461" s="417" t="s">
        <v>10</v>
      </c>
    </row>
    <row r="462" spans="1:3" ht="12.75">
      <c r="A462" s="417" t="s">
        <v>1204</v>
      </c>
      <c r="B462" s="417" t="s">
        <v>1203</v>
      </c>
      <c r="C462" s="417" t="s">
        <v>10</v>
      </c>
    </row>
    <row r="463" spans="1:3" ht="12.75">
      <c r="A463" s="417" t="s">
        <v>53</v>
      </c>
      <c r="B463" s="417" t="s">
        <v>1205</v>
      </c>
      <c r="C463" s="417" t="s">
        <v>10</v>
      </c>
    </row>
    <row r="464" spans="1:3" ht="12.75">
      <c r="A464" s="417" t="s">
        <v>2449</v>
      </c>
      <c r="B464" s="417" t="s">
        <v>1206</v>
      </c>
      <c r="C464" s="417" t="s">
        <v>10</v>
      </c>
    </row>
    <row r="465" spans="1:3" ht="12.75">
      <c r="A465" s="417" t="s">
        <v>2431</v>
      </c>
      <c r="B465" s="417" t="s">
        <v>1207</v>
      </c>
      <c r="C465" s="417" t="s">
        <v>10</v>
      </c>
    </row>
    <row r="466" spans="1:3" ht="12.75">
      <c r="A466" s="417" t="s">
        <v>2450</v>
      </c>
      <c r="B466" s="417" t="s">
        <v>1208</v>
      </c>
      <c r="C466" s="417" t="s">
        <v>10</v>
      </c>
    </row>
    <row r="467" spans="1:3" ht="12.75">
      <c r="A467" s="417" t="s">
        <v>2448</v>
      </c>
      <c r="B467" s="417" t="s">
        <v>1209</v>
      </c>
      <c r="C467" s="417" t="s">
        <v>10</v>
      </c>
    </row>
    <row r="468" spans="1:3" ht="12.75">
      <c r="A468" s="417" t="s">
        <v>1211</v>
      </c>
      <c r="B468" s="417" t="s">
        <v>1210</v>
      </c>
      <c r="C468" s="417" t="s">
        <v>409</v>
      </c>
    </row>
    <row r="469" spans="1:3" ht="12.75">
      <c r="A469" s="417" t="s">
        <v>1213</v>
      </c>
      <c r="B469" s="417" t="s">
        <v>1212</v>
      </c>
      <c r="C469" s="417" t="s">
        <v>409</v>
      </c>
    </row>
    <row r="470" spans="1:3" ht="12.75">
      <c r="A470" s="417" t="s">
        <v>89</v>
      </c>
      <c r="B470" s="417" t="s">
        <v>1214</v>
      </c>
      <c r="C470" s="417" t="s">
        <v>409</v>
      </c>
    </row>
    <row r="471" spans="1:3" ht="12.75">
      <c r="A471" s="417" t="s">
        <v>1216</v>
      </c>
      <c r="B471" s="417" t="s">
        <v>1215</v>
      </c>
      <c r="C471" s="417" t="s">
        <v>409</v>
      </c>
    </row>
    <row r="472" spans="1:3" ht="12.75">
      <c r="A472" s="417" t="s">
        <v>1218</v>
      </c>
      <c r="B472" s="417" t="s">
        <v>1217</v>
      </c>
      <c r="C472" s="417" t="s">
        <v>409</v>
      </c>
    </row>
    <row r="473" spans="1:3" ht="12.75">
      <c r="A473" s="417" t="s">
        <v>1220</v>
      </c>
      <c r="B473" s="417" t="s">
        <v>1219</v>
      </c>
      <c r="C473" s="417" t="s">
        <v>12</v>
      </c>
    </row>
    <row r="474" spans="1:3" ht="12.75">
      <c r="A474" s="417" t="s">
        <v>1222</v>
      </c>
      <c r="B474" s="417" t="s">
        <v>1221</v>
      </c>
      <c r="C474" s="417" t="s">
        <v>385</v>
      </c>
    </row>
    <row r="475" spans="1:3" ht="12.75">
      <c r="A475" s="417" t="s">
        <v>1224</v>
      </c>
      <c r="B475" s="417" t="s">
        <v>1223</v>
      </c>
      <c r="C475" s="417" t="s">
        <v>385</v>
      </c>
    </row>
    <row r="476" spans="1:3" ht="12.75">
      <c r="A476" s="417" t="s">
        <v>1227</v>
      </c>
      <c r="B476" s="417" t="s">
        <v>1225</v>
      </c>
      <c r="C476" s="417" t="s">
        <v>1226</v>
      </c>
    </row>
    <row r="477" spans="1:3" ht="12.75">
      <c r="A477" s="417" t="s">
        <v>1229</v>
      </c>
      <c r="B477" s="417" t="s">
        <v>1228</v>
      </c>
      <c r="C477" s="417" t="s">
        <v>10</v>
      </c>
    </row>
    <row r="478" spans="1:3" ht="12.75">
      <c r="A478" s="417" t="s">
        <v>1231</v>
      </c>
      <c r="B478" s="417" t="s">
        <v>1230</v>
      </c>
      <c r="C478" s="417" t="s">
        <v>11</v>
      </c>
    </row>
    <row r="479" spans="1:3" ht="12.75">
      <c r="A479" s="417" t="s">
        <v>1233</v>
      </c>
      <c r="B479" s="417" t="s">
        <v>1232</v>
      </c>
      <c r="C479" s="417" t="s">
        <v>11</v>
      </c>
    </row>
    <row r="480" spans="1:3" ht="12.75">
      <c r="A480" s="417" t="s">
        <v>1235</v>
      </c>
      <c r="B480" s="417" t="s">
        <v>1234</v>
      </c>
      <c r="C480" s="417" t="s">
        <v>11</v>
      </c>
    </row>
    <row r="481" spans="1:3" ht="12.75">
      <c r="A481" s="417" t="s">
        <v>1237</v>
      </c>
      <c r="B481" s="417" t="s">
        <v>1236</v>
      </c>
      <c r="C481" s="417" t="s">
        <v>11</v>
      </c>
    </row>
    <row r="482" spans="1:3" ht="12.75">
      <c r="A482" s="417" t="s">
        <v>1239</v>
      </c>
      <c r="B482" s="417" t="s">
        <v>1238</v>
      </c>
      <c r="C482" s="417" t="s">
        <v>12</v>
      </c>
    </row>
    <row r="483" spans="1:3" ht="12.75">
      <c r="A483" s="417" t="s">
        <v>1241</v>
      </c>
      <c r="B483" s="417" t="s">
        <v>1240</v>
      </c>
      <c r="C483" s="417" t="s">
        <v>11</v>
      </c>
    </row>
    <row r="484" spans="1:3" ht="12.75">
      <c r="A484" s="417" t="s">
        <v>1241</v>
      </c>
      <c r="B484" s="417" t="s">
        <v>1242</v>
      </c>
      <c r="C484" s="417" t="s">
        <v>12</v>
      </c>
    </row>
    <row r="485" spans="1:3" ht="12.75">
      <c r="A485" s="417" t="s">
        <v>46</v>
      </c>
      <c r="B485" s="417" t="s">
        <v>1243</v>
      </c>
      <c r="C485" s="417" t="s">
        <v>47</v>
      </c>
    </row>
    <row r="486" spans="1:3" ht="12.75">
      <c r="A486" s="417" t="s">
        <v>46</v>
      </c>
      <c r="B486" s="417" t="s">
        <v>1244</v>
      </c>
      <c r="C486" s="417" t="s">
        <v>11</v>
      </c>
    </row>
    <row r="487" spans="1:3" ht="12.75">
      <c r="A487" s="417" t="s">
        <v>1246</v>
      </c>
      <c r="B487" s="417" t="s">
        <v>1245</v>
      </c>
      <c r="C487" s="417" t="s">
        <v>12</v>
      </c>
    </row>
    <row r="488" spans="1:3" ht="12.75">
      <c r="A488" s="417" t="s">
        <v>1248</v>
      </c>
      <c r="B488" s="417" t="s">
        <v>1247</v>
      </c>
      <c r="C488" s="417" t="s">
        <v>11</v>
      </c>
    </row>
    <row r="489" spans="1:3" ht="12.75">
      <c r="A489" s="417" t="s">
        <v>1250</v>
      </c>
      <c r="B489" s="417" t="s">
        <v>1249</v>
      </c>
      <c r="C489" s="417" t="s">
        <v>11</v>
      </c>
    </row>
    <row r="490" spans="1:3" ht="12.75">
      <c r="A490" s="417" t="s">
        <v>1252</v>
      </c>
      <c r="B490" s="417" t="s">
        <v>1251</v>
      </c>
      <c r="C490" s="417" t="s">
        <v>11</v>
      </c>
    </row>
    <row r="491" spans="1:3" ht="12.75">
      <c r="A491" s="417" t="s">
        <v>1254</v>
      </c>
      <c r="B491" s="417" t="s">
        <v>1253</v>
      </c>
      <c r="C491" s="417" t="s">
        <v>11</v>
      </c>
    </row>
    <row r="492" spans="1:3" ht="12.75">
      <c r="A492" s="417" t="s">
        <v>1256</v>
      </c>
      <c r="B492" s="417" t="s">
        <v>1255</v>
      </c>
      <c r="C492" s="417" t="s">
        <v>11</v>
      </c>
    </row>
    <row r="493" spans="1:3" ht="12.75">
      <c r="A493" s="417" t="s">
        <v>1258</v>
      </c>
      <c r="B493" s="417" t="s">
        <v>1257</v>
      </c>
      <c r="C493" s="417" t="s">
        <v>12</v>
      </c>
    </row>
    <row r="494" spans="1:3" ht="12.75">
      <c r="A494" s="417" t="s">
        <v>1260</v>
      </c>
      <c r="B494" s="417" t="s">
        <v>1259</v>
      </c>
      <c r="C494" s="417" t="s">
        <v>11</v>
      </c>
    </row>
    <row r="495" spans="1:3" ht="12.75">
      <c r="A495" s="417" t="s">
        <v>1262</v>
      </c>
      <c r="B495" s="417" t="s">
        <v>1261</v>
      </c>
      <c r="C495" s="417" t="s">
        <v>11</v>
      </c>
    </row>
    <row r="496" spans="1:3" ht="12.75">
      <c r="A496" s="417" t="s">
        <v>1264</v>
      </c>
      <c r="B496" s="417" t="s">
        <v>1263</v>
      </c>
      <c r="C496" s="417" t="s">
        <v>11</v>
      </c>
    </row>
    <row r="497" spans="1:3" ht="12.75">
      <c r="A497" s="417" t="s">
        <v>1266</v>
      </c>
      <c r="B497" s="417" t="s">
        <v>1265</v>
      </c>
      <c r="C497" s="417" t="s">
        <v>11</v>
      </c>
    </row>
    <row r="498" spans="1:3" ht="12.75">
      <c r="A498" s="417" t="s">
        <v>1268</v>
      </c>
      <c r="B498" s="417" t="s">
        <v>1267</v>
      </c>
      <c r="C498" s="417" t="s">
        <v>11</v>
      </c>
    </row>
    <row r="499" spans="1:3" ht="12.75">
      <c r="A499" s="417" t="s">
        <v>1270</v>
      </c>
      <c r="B499" s="417" t="s">
        <v>1269</v>
      </c>
      <c r="C499" s="417" t="s">
        <v>11</v>
      </c>
    </row>
    <row r="500" spans="1:3" ht="12.75">
      <c r="A500" s="417" t="s">
        <v>1272</v>
      </c>
      <c r="B500" s="417" t="s">
        <v>1271</v>
      </c>
      <c r="C500" s="417" t="s">
        <v>11</v>
      </c>
    </row>
    <row r="501" spans="1:3" ht="12.75">
      <c r="A501" s="417" t="s">
        <v>1274</v>
      </c>
      <c r="B501" s="417" t="s">
        <v>1273</v>
      </c>
      <c r="C501" s="417" t="s">
        <v>11</v>
      </c>
    </row>
    <row r="502" spans="1:3" ht="12.75">
      <c r="A502" s="417" t="s">
        <v>1276</v>
      </c>
      <c r="B502" s="417" t="s">
        <v>1275</v>
      </c>
      <c r="C502" s="417" t="s">
        <v>12</v>
      </c>
    </row>
    <row r="503" spans="1:3" ht="12.75">
      <c r="A503" s="417" t="s">
        <v>1278</v>
      </c>
      <c r="B503" s="417" t="s">
        <v>1277</v>
      </c>
      <c r="C503" s="417" t="s">
        <v>12</v>
      </c>
    </row>
    <row r="504" spans="1:3" ht="12.75">
      <c r="A504" s="417" t="s">
        <v>357</v>
      </c>
      <c r="B504" s="417" t="s">
        <v>1279</v>
      </c>
      <c r="C504" s="417" t="s">
        <v>12</v>
      </c>
    </row>
    <row r="505" spans="1:3" ht="12.75">
      <c r="A505" s="417" t="s">
        <v>1281</v>
      </c>
      <c r="B505" s="417" t="s">
        <v>1280</v>
      </c>
      <c r="C505" s="417" t="s">
        <v>12</v>
      </c>
    </row>
    <row r="506" spans="1:3" ht="12.75">
      <c r="A506" s="417" t="s">
        <v>1281</v>
      </c>
      <c r="B506" s="417" t="s">
        <v>1282</v>
      </c>
      <c r="C506" s="417" t="s">
        <v>11</v>
      </c>
    </row>
    <row r="507" spans="1:3" ht="12.75">
      <c r="A507" s="417" t="s">
        <v>1284</v>
      </c>
      <c r="B507" s="417" t="s">
        <v>1283</v>
      </c>
      <c r="C507" s="417" t="s">
        <v>11</v>
      </c>
    </row>
    <row r="508" spans="1:3" ht="12.75">
      <c r="A508" s="417" t="s">
        <v>1286</v>
      </c>
      <c r="B508" s="417" t="s">
        <v>1285</v>
      </c>
      <c r="C508" s="417" t="s">
        <v>11</v>
      </c>
    </row>
    <row r="509" spans="1:3" ht="12.75">
      <c r="A509" s="417" t="s">
        <v>1288</v>
      </c>
      <c r="B509" s="417" t="s">
        <v>1287</v>
      </c>
      <c r="C509" s="417" t="s">
        <v>11</v>
      </c>
    </row>
    <row r="510" spans="1:3" ht="12.75">
      <c r="A510" s="417" t="s">
        <v>1290</v>
      </c>
      <c r="B510" s="417" t="s">
        <v>1289</v>
      </c>
      <c r="C510" s="417" t="s">
        <v>11</v>
      </c>
    </row>
    <row r="511" spans="1:3" ht="12.75">
      <c r="A511" s="417" t="s">
        <v>1292</v>
      </c>
      <c r="B511" s="417" t="s">
        <v>1291</v>
      </c>
      <c r="C511" s="417" t="s">
        <v>11</v>
      </c>
    </row>
    <row r="512" spans="1:3" ht="12.75">
      <c r="A512" s="417" t="s">
        <v>90</v>
      </c>
      <c r="B512" s="417" t="s">
        <v>1293</v>
      </c>
      <c r="C512" s="417" t="s">
        <v>11</v>
      </c>
    </row>
    <row r="513" spans="1:3" ht="12.75">
      <c r="A513" s="417" t="s">
        <v>1295</v>
      </c>
      <c r="B513" s="417" t="s">
        <v>1294</v>
      </c>
      <c r="C513" s="417" t="s">
        <v>11</v>
      </c>
    </row>
    <row r="514" spans="1:3" ht="12.75">
      <c r="A514" s="417" t="s">
        <v>1297</v>
      </c>
      <c r="B514" s="417" t="s">
        <v>1296</v>
      </c>
      <c r="C514" s="417" t="s">
        <v>11</v>
      </c>
    </row>
    <row r="515" spans="1:3" ht="12.75">
      <c r="A515" s="417" t="s">
        <v>1299</v>
      </c>
      <c r="B515" s="417" t="s">
        <v>1298</v>
      </c>
      <c r="C515" s="417" t="s">
        <v>12</v>
      </c>
    </row>
    <row r="516" spans="1:3" ht="12.75">
      <c r="A516" s="417" t="s">
        <v>1301</v>
      </c>
      <c r="B516" s="417" t="s">
        <v>1300</v>
      </c>
      <c r="C516" s="417" t="s">
        <v>113</v>
      </c>
    </row>
    <row r="517" spans="1:3" ht="12.75">
      <c r="A517" s="417" t="s">
        <v>1303</v>
      </c>
      <c r="B517" s="417" t="s">
        <v>1302</v>
      </c>
      <c r="C517" s="417" t="s">
        <v>113</v>
      </c>
    </row>
    <row r="518" spans="1:3" ht="12.75">
      <c r="A518" s="417" t="s">
        <v>1305</v>
      </c>
      <c r="B518" s="417" t="s">
        <v>1304</v>
      </c>
      <c r="C518" s="417" t="s">
        <v>113</v>
      </c>
    </row>
    <row r="519" spans="1:3" ht="12.75">
      <c r="A519" s="417" t="s">
        <v>1307</v>
      </c>
      <c r="B519" s="417" t="s">
        <v>1306</v>
      </c>
      <c r="C519" s="417" t="s">
        <v>113</v>
      </c>
    </row>
    <row r="520" spans="1:3" ht="12.75">
      <c r="A520" s="417" t="s">
        <v>1309</v>
      </c>
      <c r="B520" s="417" t="s">
        <v>1308</v>
      </c>
      <c r="C520" s="417" t="s">
        <v>12</v>
      </c>
    </row>
    <row r="521" spans="1:3" ht="12.75">
      <c r="A521" s="417" t="s">
        <v>1311</v>
      </c>
      <c r="B521" s="417" t="s">
        <v>1310</v>
      </c>
      <c r="C521" s="417" t="s">
        <v>12</v>
      </c>
    </row>
    <row r="522" spans="1:3" ht="12.75">
      <c r="A522" s="417" t="s">
        <v>1313</v>
      </c>
      <c r="B522" s="417" t="s">
        <v>1312</v>
      </c>
      <c r="C522" s="417" t="s">
        <v>12</v>
      </c>
    </row>
    <row r="523" spans="1:3" ht="12.75">
      <c r="A523" s="417" t="s">
        <v>1315</v>
      </c>
      <c r="B523" s="417" t="s">
        <v>1314</v>
      </c>
      <c r="C523" s="417" t="s">
        <v>12</v>
      </c>
    </row>
    <row r="524" spans="1:3" ht="12.75">
      <c r="A524" s="417" t="s">
        <v>1317</v>
      </c>
      <c r="B524" s="417" t="s">
        <v>1316</v>
      </c>
      <c r="C524" s="417" t="s">
        <v>12</v>
      </c>
    </row>
    <row r="525" spans="1:3" ht="12.75">
      <c r="A525" s="417" t="s">
        <v>91</v>
      </c>
      <c r="B525" s="417" t="s">
        <v>1318</v>
      </c>
      <c r="C525" s="417" t="s">
        <v>113</v>
      </c>
    </row>
    <row r="526" spans="1:3" ht="12.75">
      <c r="A526" s="417" t="s">
        <v>91</v>
      </c>
      <c r="B526" s="417" t="s">
        <v>1319</v>
      </c>
      <c r="C526" s="417" t="s">
        <v>409</v>
      </c>
    </row>
    <row r="527" spans="1:3" ht="12.75">
      <c r="A527" s="417" t="s">
        <v>1321</v>
      </c>
      <c r="B527" s="417" t="s">
        <v>1320</v>
      </c>
      <c r="C527" s="417" t="s">
        <v>113</v>
      </c>
    </row>
    <row r="528" spans="1:3" ht="12.75">
      <c r="A528" s="417" t="s">
        <v>1323</v>
      </c>
      <c r="B528" s="417" t="s">
        <v>1322</v>
      </c>
      <c r="C528" s="417" t="s">
        <v>113</v>
      </c>
    </row>
    <row r="529" spans="1:3" ht="12.75">
      <c r="A529" s="417" t="s">
        <v>1325</v>
      </c>
      <c r="B529" s="417" t="s">
        <v>1324</v>
      </c>
      <c r="C529" s="417" t="s">
        <v>113</v>
      </c>
    </row>
    <row r="530" spans="1:3" ht="12.75">
      <c r="A530" s="417" t="s">
        <v>1327</v>
      </c>
      <c r="B530" s="417" t="s">
        <v>1326</v>
      </c>
      <c r="C530" s="417" t="s">
        <v>113</v>
      </c>
    </row>
    <row r="531" spans="1:3" ht="12.75">
      <c r="A531" s="417" t="s">
        <v>1329</v>
      </c>
      <c r="B531" s="417" t="s">
        <v>1328</v>
      </c>
      <c r="C531" s="417" t="s">
        <v>113</v>
      </c>
    </row>
    <row r="532" spans="1:3" ht="12.75">
      <c r="A532" s="417" t="s">
        <v>1331</v>
      </c>
      <c r="B532" s="417" t="s">
        <v>1330</v>
      </c>
      <c r="C532" s="417" t="s">
        <v>409</v>
      </c>
    </row>
    <row r="533" spans="1:3" ht="12.75">
      <c r="A533" s="417" t="s">
        <v>165</v>
      </c>
      <c r="B533" s="417" t="s">
        <v>1332</v>
      </c>
      <c r="C533" s="417" t="s">
        <v>409</v>
      </c>
    </row>
    <row r="534" spans="1:3" ht="12.75">
      <c r="A534" s="417" t="s">
        <v>1334</v>
      </c>
      <c r="B534" s="417" t="s">
        <v>1333</v>
      </c>
      <c r="C534" s="417" t="s">
        <v>10</v>
      </c>
    </row>
    <row r="535" spans="1:3" ht="12.75">
      <c r="A535" s="417" t="s">
        <v>1336</v>
      </c>
      <c r="B535" s="417" t="s">
        <v>1335</v>
      </c>
      <c r="C535" s="417" t="s">
        <v>10</v>
      </c>
    </row>
    <row r="536" spans="1:3" ht="12.75">
      <c r="A536" s="417" t="s">
        <v>1338</v>
      </c>
      <c r="B536" s="417" t="s">
        <v>1337</v>
      </c>
      <c r="C536" s="417" t="s">
        <v>10</v>
      </c>
    </row>
    <row r="537" spans="1:3" ht="12.75">
      <c r="A537" s="417" t="s">
        <v>1340</v>
      </c>
      <c r="B537" s="417" t="s">
        <v>1339</v>
      </c>
      <c r="C537" s="417" t="s">
        <v>10</v>
      </c>
    </row>
    <row r="538" spans="1:3" ht="12.75">
      <c r="A538" s="417" t="s">
        <v>39</v>
      </c>
      <c r="B538" s="417" t="s">
        <v>1341</v>
      </c>
      <c r="C538" s="417" t="s">
        <v>10</v>
      </c>
    </row>
    <row r="539" spans="1:3" ht="12.75">
      <c r="A539" s="417" t="s">
        <v>1343</v>
      </c>
      <c r="B539" s="417" t="s">
        <v>1342</v>
      </c>
      <c r="C539" s="417" t="s">
        <v>10</v>
      </c>
    </row>
    <row r="540" spans="1:3" ht="12.75">
      <c r="A540" s="417" t="s">
        <v>1345</v>
      </c>
      <c r="B540" s="417" t="s">
        <v>1344</v>
      </c>
      <c r="C540" s="417" t="s">
        <v>10</v>
      </c>
    </row>
    <row r="541" spans="1:3" ht="12.75">
      <c r="A541" s="417" t="s">
        <v>211</v>
      </c>
      <c r="B541" s="417" t="s">
        <v>1346</v>
      </c>
      <c r="C541" s="417" t="s">
        <v>10</v>
      </c>
    </row>
    <row r="542" spans="1:3" ht="12.75">
      <c r="A542" s="417" t="s">
        <v>212</v>
      </c>
      <c r="B542" s="417" t="s">
        <v>1347</v>
      </c>
      <c r="C542" s="417" t="s">
        <v>10</v>
      </c>
    </row>
    <row r="543" spans="1:3" ht="12.75">
      <c r="A543" s="417" t="s">
        <v>2432</v>
      </c>
      <c r="B543" s="417" t="s">
        <v>1348</v>
      </c>
      <c r="C543" s="417" t="s">
        <v>10</v>
      </c>
    </row>
    <row r="544" spans="1:3" ht="12.75">
      <c r="A544" s="417" t="s">
        <v>2433</v>
      </c>
      <c r="B544" s="417" t="s">
        <v>1349</v>
      </c>
      <c r="C544" s="417" t="s">
        <v>10</v>
      </c>
    </row>
    <row r="545" spans="1:3" ht="12.75">
      <c r="A545" s="417" t="s">
        <v>2434</v>
      </c>
      <c r="B545" s="417" t="s">
        <v>1350</v>
      </c>
      <c r="C545" s="417" t="s">
        <v>10</v>
      </c>
    </row>
    <row r="546" spans="1:3" ht="12.75">
      <c r="A546" s="417" t="s">
        <v>2435</v>
      </c>
      <c r="B546" s="417" t="s">
        <v>1351</v>
      </c>
      <c r="C546" s="417" t="s">
        <v>10</v>
      </c>
    </row>
    <row r="547" spans="1:3" ht="12.75">
      <c r="A547" s="417" t="s">
        <v>1353</v>
      </c>
      <c r="B547" s="417" t="s">
        <v>1352</v>
      </c>
      <c r="C547" s="417" t="s">
        <v>409</v>
      </c>
    </row>
    <row r="548" spans="1:3" ht="12.75">
      <c r="A548" s="417" t="s">
        <v>1355</v>
      </c>
      <c r="B548" s="417" t="s">
        <v>1354</v>
      </c>
      <c r="C548" s="417" t="s">
        <v>409</v>
      </c>
    </row>
    <row r="549" spans="1:3" ht="12.75">
      <c r="A549" s="417" t="s">
        <v>1357</v>
      </c>
      <c r="B549" s="417" t="s">
        <v>1356</v>
      </c>
      <c r="C549" s="417" t="s">
        <v>409</v>
      </c>
    </row>
    <row r="550" spans="1:3" ht="12.75">
      <c r="A550" s="417" t="s">
        <v>1359</v>
      </c>
      <c r="B550" s="417" t="s">
        <v>1358</v>
      </c>
      <c r="C550" s="417" t="s">
        <v>409</v>
      </c>
    </row>
    <row r="551" spans="1:3" ht="12.75">
      <c r="A551" s="417" t="s">
        <v>1361</v>
      </c>
      <c r="B551" s="417" t="s">
        <v>1360</v>
      </c>
      <c r="C551" s="417" t="s">
        <v>11</v>
      </c>
    </row>
    <row r="552" spans="1:3" ht="12.75">
      <c r="A552" s="417" t="s">
        <v>1363</v>
      </c>
      <c r="B552" s="417" t="s">
        <v>1362</v>
      </c>
      <c r="C552" s="417" t="s">
        <v>11</v>
      </c>
    </row>
    <row r="553" spans="1:3" ht="12.75">
      <c r="A553" s="417" t="s">
        <v>1365</v>
      </c>
      <c r="B553" s="417" t="s">
        <v>1364</v>
      </c>
      <c r="C553" s="417" t="s">
        <v>11</v>
      </c>
    </row>
    <row r="554" spans="1:3" ht="12.75">
      <c r="A554" s="417" t="s">
        <v>1367</v>
      </c>
      <c r="B554" s="417" t="s">
        <v>1366</v>
      </c>
      <c r="C554" s="417" t="s">
        <v>11</v>
      </c>
    </row>
    <row r="555" spans="1:3" ht="12.75">
      <c r="A555" s="417" t="s">
        <v>1369</v>
      </c>
      <c r="B555" s="417" t="s">
        <v>1368</v>
      </c>
      <c r="C555" s="417" t="s">
        <v>11</v>
      </c>
    </row>
    <row r="556" spans="1:3" ht="12.75">
      <c r="A556" s="417" t="s">
        <v>1371</v>
      </c>
      <c r="B556" s="417" t="s">
        <v>1370</v>
      </c>
      <c r="C556" s="417" t="s">
        <v>11</v>
      </c>
    </row>
    <row r="557" spans="1:3" ht="12.75">
      <c r="A557" s="417" t="s">
        <v>1373</v>
      </c>
      <c r="B557" s="417" t="s">
        <v>1372</v>
      </c>
      <c r="C557" s="417" t="s">
        <v>11</v>
      </c>
    </row>
    <row r="558" spans="1:3" ht="12.75">
      <c r="A558" s="417" t="s">
        <v>1375</v>
      </c>
      <c r="B558" s="417" t="s">
        <v>1374</v>
      </c>
      <c r="C558" s="417" t="s">
        <v>11</v>
      </c>
    </row>
    <row r="559" spans="1:3" ht="12.75">
      <c r="A559" s="417" t="s">
        <v>1377</v>
      </c>
      <c r="B559" s="417" t="s">
        <v>1376</v>
      </c>
      <c r="C559" s="417" t="s">
        <v>11</v>
      </c>
    </row>
    <row r="560" spans="1:3" ht="12.75">
      <c r="A560" s="417" t="s">
        <v>1379</v>
      </c>
      <c r="B560" s="417" t="s">
        <v>1378</v>
      </c>
      <c r="C560" s="417" t="s">
        <v>11</v>
      </c>
    </row>
    <row r="561" spans="1:3" ht="12.75">
      <c r="A561" s="417" t="s">
        <v>1381</v>
      </c>
      <c r="B561" s="417" t="s">
        <v>1380</v>
      </c>
      <c r="C561" s="417" t="s">
        <v>11</v>
      </c>
    </row>
    <row r="562" spans="1:3" ht="12.75">
      <c r="A562" s="417" t="s">
        <v>1383</v>
      </c>
      <c r="B562" s="417" t="s">
        <v>1382</v>
      </c>
      <c r="C562" s="417" t="s">
        <v>11</v>
      </c>
    </row>
    <row r="563" spans="1:3" ht="12.75">
      <c r="A563" s="417" t="s">
        <v>1385</v>
      </c>
      <c r="B563" s="417" t="s">
        <v>1384</v>
      </c>
      <c r="C563" s="417" t="s">
        <v>11</v>
      </c>
    </row>
    <row r="564" spans="1:3" ht="12.75">
      <c r="A564" s="417" t="s">
        <v>1387</v>
      </c>
      <c r="B564" s="417" t="s">
        <v>1386</v>
      </c>
      <c r="C564" s="417" t="s">
        <v>11</v>
      </c>
    </row>
    <row r="565" spans="1:3" ht="12.75">
      <c r="A565" s="417" t="s">
        <v>1389</v>
      </c>
      <c r="B565" s="417" t="s">
        <v>1388</v>
      </c>
      <c r="C565" s="417" t="s">
        <v>11</v>
      </c>
    </row>
    <row r="566" spans="1:3" ht="12.75">
      <c r="A566" s="417" t="s">
        <v>1391</v>
      </c>
      <c r="B566" s="417" t="s">
        <v>1390</v>
      </c>
      <c r="C566" s="417" t="s">
        <v>11</v>
      </c>
    </row>
    <row r="567" spans="1:3" ht="12.75">
      <c r="A567" s="417" t="s">
        <v>1393</v>
      </c>
      <c r="B567" s="417" t="s">
        <v>1392</v>
      </c>
      <c r="C567" s="417" t="s">
        <v>11</v>
      </c>
    </row>
    <row r="568" spans="1:3" ht="12.75">
      <c r="A568" s="417" t="s">
        <v>1395</v>
      </c>
      <c r="B568" s="417" t="s">
        <v>1394</v>
      </c>
      <c r="C568" s="417" t="s">
        <v>11</v>
      </c>
    </row>
    <row r="569" spans="1:3" ht="12.75">
      <c r="A569" s="417" t="s">
        <v>1397</v>
      </c>
      <c r="B569" s="417" t="s">
        <v>1396</v>
      </c>
      <c r="C569" s="417" t="s">
        <v>11</v>
      </c>
    </row>
    <row r="570" spans="1:3" ht="12.75">
      <c r="A570" s="417" t="s">
        <v>1399</v>
      </c>
      <c r="B570" s="417" t="s">
        <v>1398</v>
      </c>
      <c r="C570" s="417" t="s">
        <v>11</v>
      </c>
    </row>
    <row r="571" spans="1:3" ht="12.75">
      <c r="A571" s="417" t="s">
        <v>1401</v>
      </c>
      <c r="B571" s="417" t="s">
        <v>1400</v>
      </c>
      <c r="C571" s="417" t="s">
        <v>11</v>
      </c>
    </row>
    <row r="572" spans="1:3" ht="12.75">
      <c r="A572" s="417" t="s">
        <v>1403</v>
      </c>
      <c r="B572" s="417" t="s">
        <v>1402</v>
      </c>
      <c r="C572" s="417" t="s">
        <v>12</v>
      </c>
    </row>
    <row r="573" spans="1:3" ht="12.75">
      <c r="A573" s="417" t="s">
        <v>1405</v>
      </c>
      <c r="B573" s="417" t="s">
        <v>1404</v>
      </c>
      <c r="C573" s="417" t="s">
        <v>12</v>
      </c>
    </row>
    <row r="574" spans="1:3" ht="12.75">
      <c r="A574" s="417" t="s">
        <v>1407</v>
      </c>
      <c r="B574" s="417" t="s">
        <v>1406</v>
      </c>
      <c r="C574" s="417" t="s">
        <v>12</v>
      </c>
    </row>
    <row r="575" spans="1:3" ht="12.75">
      <c r="A575" s="417" t="s">
        <v>1409</v>
      </c>
      <c r="B575" s="417" t="s">
        <v>1408</v>
      </c>
      <c r="C575" s="417" t="s">
        <v>12</v>
      </c>
    </row>
    <row r="576" spans="1:3" ht="12.75">
      <c r="A576" s="417" t="s">
        <v>1411</v>
      </c>
      <c r="B576" s="417" t="s">
        <v>1410</v>
      </c>
      <c r="C576" s="417" t="s">
        <v>12</v>
      </c>
    </row>
    <row r="577" spans="1:3" ht="12.75">
      <c r="A577" s="417" t="s">
        <v>1413</v>
      </c>
      <c r="B577" s="417" t="s">
        <v>1412</v>
      </c>
      <c r="C577" s="417" t="s">
        <v>12</v>
      </c>
    </row>
    <row r="578" spans="1:3" ht="12.75">
      <c r="A578" s="417" t="s">
        <v>1415</v>
      </c>
      <c r="B578" s="417" t="s">
        <v>1414</v>
      </c>
      <c r="C578" s="417" t="s">
        <v>12</v>
      </c>
    </row>
    <row r="579" spans="1:3" ht="12.75">
      <c r="A579" s="417" t="s">
        <v>1417</v>
      </c>
      <c r="B579" s="417" t="s">
        <v>1416</v>
      </c>
      <c r="C579" s="417" t="s">
        <v>12</v>
      </c>
    </row>
    <row r="580" spans="1:3" ht="12.75">
      <c r="A580" s="417" t="s">
        <v>1419</v>
      </c>
      <c r="B580" s="417" t="s">
        <v>1418</v>
      </c>
      <c r="C580" s="417" t="s">
        <v>12</v>
      </c>
    </row>
    <row r="581" spans="1:3" ht="12.75">
      <c r="A581" s="417" t="s">
        <v>1421</v>
      </c>
      <c r="B581" s="417" t="s">
        <v>1420</v>
      </c>
      <c r="C581" s="417" t="s">
        <v>12</v>
      </c>
    </row>
    <row r="582" spans="1:3" ht="12.75">
      <c r="A582" s="417" t="s">
        <v>1423</v>
      </c>
      <c r="B582" s="417" t="s">
        <v>1422</v>
      </c>
      <c r="C582" s="417" t="s">
        <v>12</v>
      </c>
    </row>
    <row r="583" spans="1:3" ht="12.75">
      <c r="A583" s="417" t="s">
        <v>1425</v>
      </c>
      <c r="B583" s="417" t="s">
        <v>1424</v>
      </c>
      <c r="C583" s="417" t="s">
        <v>12</v>
      </c>
    </row>
    <row r="584" spans="1:3" ht="12.75">
      <c r="A584" s="417" t="s">
        <v>1427</v>
      </c>
      <c r="B584" s="417" t="s">
        <v>1426</v>
      </c>
      <c r="C584" s="417" t="s">
        <v>12</v>
      </c>
    </row>
    <row r="585" spans="1:3" ht="12.75">
      <c r="A585" s="417" t="s">
        <v>1429</v>
      </c>
      <c r="B585" s="417" t="s">
        <v>1428</v>
      </c>
      <c r="C585" s="417" t="s">
        <v>12</v>
      </c>
    </row>
    <row r="586" spans="1:3" ht="12.75">
      <c r="A586" s="417" t="s">
        <v>1431</v>
      </c>
      <c r="B586" s="417" t="s">
        <v>1430</v>
      </c>
      <c r="C586" s="417" t="s">
        <v>12</v>
      </c>
    </row>
    <row r="587" spans="1:3" ht="12.75">
      <c r="A587" s="417" t="s">
        <v>1433</v>
      </c>
      <c r="B587" s="417" t="s">
        <v>1432</v>
      </c>
      <c r="C587" s="417" t="s">
        <v>12</v>
      </c>
    </row>
    <row r="588" spans="1:3" ht="12.75">
      <c r="A588" s="417" t="s">
        <v>1435</v>
      </c>
      <c r="B588" s="417" t="s">
        <v>1434</v>
      </c>
      <c r="C588" s="417" t="s">
        <v>12</v>
      </c>
    </row>
    <row r="589" spans="1:3" ht="12.75">
      <c r="A589" s="417" t="s">
        <v>1437</v>
      </c>
      <c r="B589" s="417" t="s">
        <v>1436</v>
      </c>
      <c r="C589" s="417" t="s">
        <v>12</v>
      </c>
    </row>
    <row r="590" spans="1:3" ht="12.75">
      <c r="A590" s="417" t="s">
        <v>1439</v>
      </c>
      <c r="B590" s="417" t="s">
        <v>1438</v>
      </c>
      <c r="C590" s="417" t="s">
        <v>12</v>
      </c>
    </row>
    <row r="591" spans="1:3" ht="12.75">
      <c r="A591" s="417" t="s">
        <v>1441</v>
      </c>
      <c r="B591" s="417" t="s">
        <v>1440</v>
      </c>
      <c r="C591" s="417" t="s">
        <v>12</v>
      </c>
    </row>
    <row r="592" spans="1:3" ht="12.75">
      <c r="A592" s="417" t="s">
        <v>1443</v>
      </c>
      <c r="B592" s="417" t="s">
        <v>1442</v>
      </c>
      <c r="C592" s="417" t="s">
        <v>12</v>
      </c>
    </row>
    <row r="593" spans="1:3" ht="12.75">
      <c r="A593" s="417" t="s">
        <v>1445</v>
      </c>
      <c r="B593" s="417" t="s">
        <v>1444</v>
      </c>
      <c r="C593" s="417" t="s">
        <v>12</v>
      </c>
    </row>
    <row r="594" spans="1:3" ht="12.75">
      <c r="A594" s="417" t="s">
        <v>1447</v>
      </c>
      <c r="B594" s="417" t="s">
        <v>1446</v>
      </c>
      <c r="C594" s="417" t="s">
        <v>12</v>
      </c>
    </row>
    <row r="595" spans="1:3" ht="12.75">
      <c r="A595" s="417" t="s">
        <v>1449</v>
      </c>
      <c r="B595" s="417" t="s">
        <v>1448</v>
      </c>
      <c r="C595" s="417" t="s">
        <v>12</v>
      </c>
    </row>
    <row r="596" spans="1:3" ht="12.75">
      <c r="A596" s="417" t="s">
        <v>1451</v>
      </c>
      <c r="B596" s="417" t="s">
        <v>1450</v>
      </c>
      <c r="C596" s="417" t="s">
        <v>12</v>
      </c>
    </row>
    <row r="597" spans="1:3" ht="12.75">
      <c r="A597" s="417" t="s">
        <v>1453</v>
      </c>
      <c r="B597" s="417" t="s">
        <v>1452</v>
      </c>
      <c r="C597" s="417" t="s">
        <v>12</v>
      </c>
    </row>
    <row r="598" spans="1:3" ht="12.75">
      <c r="A598" s="417" t="s">
        <v>1455</v>
      </c>
      <c r="B598" s="417" t="s">
        <v>1454</v>
      </c>
      <c r="C598" s="417" t="s">
        <v>12</v>
      </c>
    </row>
    <row r="599" spans="1:3" ht="12.75">
      <c r="A599" s="417" t="s">
        <v>1457</v>
      </c>
      <c r="B599" s="417" t="s">
        <v>1456</v>
      </c>
      <c r="C599" s="417" t="s">
        <v>12</v>
      </c>
    </row>
    <row r="600" spans="1:3" ht="12.75">
      <c r="A600" s="417" t="s">
        <v>1459</v>
      </c>
      <c r="B600" s="417" t="s">
        <v>1458</v>
      </c>
      <c r="C600" s="417" t="s">
        <v>12</v>
      </c>
    </row>
    <row r="601" spans="1:3" ht="12.75">
      <c r="A601" s="417" t="s">
        <v>2438</v>
      </c>
      <c r="B601" s="417" t="s">
        <v>1460</v>
      </c>
      <c r="C601" s="417" t="s">
        <v>11</v>
      </c>
    </row>
    <row r="602" spans="1:3" ht="12.75">
      <c r="A602" s="417" t="s">
        <v>2439</v>
      </c>
      <c r="B602" s="417" t="s">
        <v>1461</v>
      </c>
      <c r="C602" s="417" t="s">
        <v>11</v>
      </c>
    </row>
    <row r="603" spans="1:3" ht="12.75">
      <c r="A603" s="417" t="s">
        <v>2440</v>
      </c>
      <c r="B603" s="417" t="s">
        <v>1462</v>
      </c>
      <c r="C603" s="417" t="s">
        <v>11</v>
      </c>
    </row>
    <row r="604" spans="1:3" ht="12.75">
      <c r="A604" s="417" t="s">
        <v>2441</v>
      </c>
      <c r="B604" s="417" t="s">
        <v>1463</v>
      </c>
      <c r="C604" s="417" t="s">
        <v>11</v>
      </c>
    </row>
    <row r="605" spans="1:3" ht="12.75">
      <c r="A605" s="417" t="s">
        <v>2437</v>
      </c>
      <c r="B605" s="417" t="s">
        <v>1464</v>
      </c>
      <c r="C605" s="417" t="s">
        <v>11</v>
      </c>
    </row>
    <row r="606" spans="1:3" ht="12.75">
      <c r="A606" s="417" t="s">
        <v>2436</v>
      </c>
      <c r="B606" s="417" t="s">
        <v>1465</v>
      </c>
      <c r="C606" s="417" t="s">
        <v>11</v>
      </c>
    </row>
    <row r="607" spans="1:3" ht="12.75">
      <c r="A607" s="417" t="s">
        <v>2442</v>
      </c>
      <c r="B607" s="417" t="s">
        <v>1466</v>
      </c>
      <c r="C607" s="417" t="s">
        <v>11</v>
      </c>
    </row>
    <row r="608" spans="1:3" ht="12.75">
      <c r="A608" s="417" t="s">
        <v>2443</v>
      </c>
      <c r="B608" s="417" t="s">
        <v>1467</v>
      </c>
      <c r="C608" s="417" t="s">
        <v>11</v>
      </c>
    </row>
    <row r="609" spans="1:3" ht="12.75">
      <c r="A609" s="417" t="s">
        <v>2444</v>
      </c>
      <c r="B609" s="417" t="s">
        <v>1468</v>
      </c>
      <c r="C609" s="417" t="s">
        <v>11</v>
      </c>
    </row>
    <row r="610" spans="1:3" ht="12.75">
      <c r="A610" s="417" t="s">
        <v>2445</v>
      </c>
      <c r="B610" s="417" t="s">
        <v>1469</v>
      </c>
      <c r="C610" s="417" t="s">
        <v>11</v>
      </c>
    </row>
    <row r="611" spans="1:3" ht="12.75">
      <c r="A611" s="417" t="s">
        <v>2446</v>
      </c>
      <c r="B611" s="417" t="s">
        <v>1470</v>
      </c>
      <c r="C611" s="417" t="s">
        <v>11</v>
      </c>
    </row>
    <row r="612" spans="1:3" ht="12.75">
      <c r="A612" s="417" t="s">
        <v>2447</v>
      </c>
      <c r="B612" s="417" t="s">
        <v>1471</v>
      </c>
      <c r="C612" s="417" t="s">
        <v>11</v>
      </c>
    </row>
    <row r="613" spans="1:3" ht="12.75">
      <c r="A613" s="417" t="s">
        <v>1473</v>
      </c>
      <c r="B613" s="417" t="s">
        <v>1472</v>
      </c>
      <c r="C613" s="417" t="s">
        <v>12</v>
      </c>
    </row>
    <row r="614" spans="1:3" ht="12.75">
      <c r="A614" s="417" t="s">
        <v>1475</v>
      </c>
      <c r="B614" s="417" t="s">
        <v>1474</v>
      </c>
      <c r="C614" s="417" t="s">
        <v>12</v>
      </c>
    </row>
    <row r="615" spans="1:3" ht="12.75">
      <c r="A615" s="417" t="s">
        <v>1477</v>
      </c>
      <c r="B615" s="417" t="s">
        <v>1476</v>
      </c>
      <c r="C615" s="417" t="s">
        <v>12</v>
      </c>
    </row>
    <row r="616" spans="1:3" ht="12.75">
      <c r="A616" s="417" t="s">
        <v>1479</v>
      </c>
      <c r="B616" s="417" t="s">
        <v>1478</v>
      </c>
      <c r="C616" s="417" t="s">
        <v>12</v>
      </c>
    </row>
    <row r="617" spans="1:3" ht="12.75">
      <c r="A617" s="417" t="s">
        <v>1481</v>
      </c>
      <c r="B617" s="417" t="s">
        <v>1480</v>
      </c>
      <c r="C617" s="417" t="s">
        <v>12</v>
      </c>
    </row>
    <row r="618" spans="1:3" ht="12.75">
      <c r="A618" s="417" t="s">
        <v>1483</v>
      </c>
      <c r="B618" s="417" t="s">
        <v>1482</v>
      </c>
      <c r="C618" s="417" t="s">
        <v>12</v>
      </c>
    </row>
    <row r="619" spans="1:3" ht="12.75">
      <c r="A619" s="417" t="s">
        <v>1485</v>
      </c>
      <c r="B619" s="417" t="s">
        <v>1484</v>
      </c>
      <c r="C619" s="417" t="s">
        <v>12</v>
      </c>
    </row>
    <row r="620" spans="1:3" ht="12.75">
      <c r="A620" s="417" t="s">
        <v>1487</v>
      </c>
      <c r="B620" s="417" t="s">
        <v>1486</v>
      </c>
      <c r="C620" s="417" t="s">
        <v>12</v>
      </c>
    </row>
    <row r="621" spans="1:3" ht="12.75">
      <c r="A621" s="417" t="s">
        <v>1489</v>
      </c>
      <c r="B621" s="417" t="s">
        <v>1488</v>
      </c>
      <c r="C621" s="417" t="s">
        <v>12</v>
      </c>
    </row>
    <row r="622" spans="1:3" ht="12.75">
      <c r="A622" s="417" t="s">
        <v>1491</v>
      </c>
      <c r="B622" s="417" t="s">
        <v>1490</v>
      </c>
      <c r="C622" s="417" t="s">
        <v>11</v>
      </c>
    </row>
    <row r="623" spans="1:3" ht="12.75">
      <c r="A623" s="417" t="s">
        <v>1493</v>
      </c>
      <c r="B623" s="417" t="s">
        <v>1492</v>
      </c>
      <c r="C623" s="417" t="s">
        <v>12</v>
      </c>
    </row>
    <row r="624" spans="1:3" ht="12.75">
      <c r="A624" s="417" t="s">
        <v>1495</v>
      </c>
      <c r="B624" s="417" t="s">
        <v>1494</v>
      </c>
      <c r="C624" s="417" t="s">
        <v>12</v>
      </c>
    </row>
    <row r="625" spans="1:3" ht="12.75">
      <c r="A625" s="417" t="s">
        <v>1497</v>
      </c>
      <c r="B625" s="417" t="s">
        <v>1496</v>
      </c>
      <c r="C625" s="417" t="s">
        <v>12</v>
      </c>
    </row>
    <row r="626" spans="1:3" ht="12.75">
      <c r="A626" s="417" t="s">
        <v>1499</v>
      </c>
      <c r="B626" s="417" t="s">
        <v>1498</v>
      </c>
      <c r="C626" s="417" t="s">
        <v>12</v>
      </c>
    </row>
    <row r="627" spans="1:3" ht="12.75">
      <c r="A627" s="417" t="s">
        <v>1501</v>
      </c>
      <c r="B627" s="417" t="s">
        <v>1500</v>
      </c>
      <c r="C627" s="417" t="s">
        <v>12</v>
      </c>
    </row>
    <row r="628" spans="1:3" ht="12.75">
      <c r="A628" s="417" t="s">
        <v>1503</v>
      </c>
      <c r="B628" s="417" t="s">
        <v>1502</v>
      </c>
      <c r="C628" s="417" t="s">
        <v>11</v>
      </c>
    </row>
    <row r="629" spans="1:3" ht="12.75">
      <c r="A629" s="417" t="s">
        <v>1505</v>
      </c>
      <c r="B629" s="417" t="s">
        <v>1504</v>
      </c>
      <c r="C629" s="417" t="s">
        <v>11</v>
      </c>
    </row>
    <row r="630" spans="1:3" ht="12.75">
      <c r="A630" s="417" t="s">
        <v>1507</v>
      </c>
      <c r="B630" s="417" t="s">
        <v>1506</v>
      </c>
      <c r="C630" s="417" t="s">
        <v>11</v>
      </c>
    </row>
    <row r="631" spans="1:3" ht="12.75">
      <c r="A631" s="417" t="s">
        <v>1509</v>
      </c>
      <c r="B631" s="417" t="s">
        <v>1508</v>
      </c>
      <c r="C631" s="417" t="s">
        <v>11</v>
      </c>
    </row>
    <row r="632" spans="1:3" ht="12.75">
      <c r="A632" s="417" t="s">
        <v>1511</v>
      </c>
      <c r="B632" s="417" t="s">
        <v>1510</v>
      </c>
      <c r="C632" s="417" t="s">
        <v>11</v>
      </c>
    </row>
    <row r="633" spans="1:3" ht="12.75">
      <c r="A633" s="417" t="s">
        <v>1513</v>
      </c>
      <c r="B633" s="417" t="s">
        <v>1512</v>
      </c>
      <c r="C633" s="417" t="s">
        <v>11</v>
      </c>
    </row>
    <row r="634" spans="1:3" ht="12.75">
      <c r="A634" s="417" t="s">
        <v>167</v>
      </c>
      <c r="B634" s="417" t="s">
        <v>1514</v>
      </c>
      <c r="C634" s="417" t="s">
        <v>11</v>
      </c>
    </row>
    <row r="635" spans="1:3" ht="12.75">
      <c r="A635" s="417" t="s">
        <v>1516</v>
      </c>
      <c r="B635" s="417" t="s">
        <v>1515</v>
      </c>
      <c r="C635" s="417" t="s">
        <v>11</v>
      </c>
    </row>
    <row r="636" spans="1:3" ht="12.75">
      <c r="A636" s="417" t="s">
        <v>1518</v>
      </c>
      <c r="B636" s="417" t="s">
        <v>1517</v>
      </c>
      <c r="C636" s="417" t="s">
        <v>12</v>
      </c>
    </row>
    <row r="637" spans="1:3" ht="12.75">
      <c r="A637" s="417" t="s">
        <v>1520</v>
      </c>
      <c r="B637" s="417" t="s">
        <v>1519</v>
      </c>
      <c r="C637" s="417" t="s">
        <v>12</v>
      </c>
    </row>
    <row r="638" spans="1:3" ht="12.75">
      <c r="A638" s="417" t="s">
        <v>1522</v>
      </c>
      <c r="B638" s="417" t="s">
        <v>1521</v>
      </c>
      <c r="C638" s="417" t="s">
        <v>11</v>
      </c>
    </row>
    <row r="639" spans="1:3" ht="12.75">
      <c r="A639" s="417" t="s">
        <v>1524</v>
      </c>
      <c r="B639" s="417" t="s">
        <v>1523</v>
      </c>
      <c r="C639" s="417" t="s">
        <v>11</v>
      </c>
    </row>
    <row r="640" spans="1:3" ht="12.75">
      <c r="A640" s="417" t="s">
        <v>1526</v>
      </c>
      <c r="B640" s="417" t="s">
        <v>1525</v>
      </c>
      <c r="C640" s="417" t="s">
        <v>12</v>
      </c>
    </row>
    <row r="641" spans="1:3" ht="12.75">
      <c r="A641" s="417" t="s">
        <v>1528</v>
      </c>
      <c r="B641" s="417" t="s">
        <v>1527</v>
      </c>
      <c r="C641" s="417" t="s">
        <v>12</v>
      </c>
    </row>
    <row r="642" spans="1:3" ht="12.75">
      <c r="A642" s="417" t="s">
        <v>1530</v>
      </c>
      <c r="B642" s="417" t="s">
        <v>1529</v>
      </c>
      <c r="C642" s="417" t="s">
        <v>12</v>
      </c>
    </row>
    <row r="643" spans="1:3" ht="12.75">
      <c r="A643" s="417" t="s">
        <v>1532</v>
      </c>
      <c r="B643" s="417" t="s">
        <v>1531</v>
      </c>
      <c r="C643" s="417" t="s">
        <v>12</v>
      </c>
    </row>
    <row r="644" spans="1:3" ht="12.75">
      <c r="A644" s="417" t="s">
        <v>1534</v>
      </c>
      <c r="B644" s="417" t="s">
        <v>1533</v>
      </c>
      <c r="C644" s="417" t="s">
        <v>12</v>
      </c>
    </row>
    <row r="645" spans="1:3" ht="12.75">
      <c r="A645" s="417" t="s">
        <v>1536</v>
      </c>
      <c r="B645" s="417" t="s">
        <v>1535</v>
      </c>
      <c r="C645" s="417" t="s">
        <v>12</v>
      </c>
    </row>
    <row r="646" spans="1:3" ht="12.75">
      <c r="A646" s="417" t="s">
        <v>1538</v>
      </c>
      <c r="B646" s="417" t="s">
        <v>1537</v>
      </c>
      <c r="C646" s="417" t="s">
        <v>12</v>
      </c>
    </row>
    <row r="647" spans="1:3" ht="12.75">
      <c r="A647" s="417" t="s">
        <v>1540</v>
      </c>
      <c r="B647" s="417" t="s">
        <v>1539</v>
      </c>
      <c r="C647" s="417" t="s">
        <v>12</v>
      </c>
    </row>
    <row r="648" spans="1:3" ht="12.75">
      <c r="A648" s="417" t="s">
        <v>1542</v>
      </c>
      <c r="B648" s="417" t="s">
        <v>1541</v>
      </c>
      <c r="C648" s="417" t="s">
        <v>12</v>
      </c>
    </row>
    <row r="649" spans="1:3" ht="12.75">
      <c r="A649" s="417" t="s">
        <v>1544</v>
      </c>
      <c r="B649" s="417" t="s">
        <v>1543</v>
      </c>
      <c r="C649" s="417" t="s">
        <v>12</v>
      </c>
    </row>
    <row r="650" spans="1:3" ht="12.75">
      <c r="A650" s="417" t="s">
        <v>1546</v>
      </c>
      <c r="B650" s="417" t="s">
        <v>1545</v>
      </c>
      <c r="C650" s="417" t="s">
        <v>12</v>
      </c>
    </row>
    <row r="651" spans="1:3" ht="12.75">
      <c r="A651" s="417" t="s">
        <v>1548</v>
      </c>
      <c r="B651" s="417" t="s">
        <v>1547</v>
      </c>
      <c r="C651" s="417" t="s">
        <v>12</v>
      </c>
    </row>
    <row r="652" spans="1:3" ht="12.75">
      <c r="A652" s="417" t="s">
        <v>1550</v>
      </c>
      <c r="B652" s="417" t="s">
        <v>1549</v>
      </c>
      <c r="C652" s="417" t="s">
        <v>12</v>
      </c>
    </row>
    <row r="653" spans="1:3" ht="12.75">
      <c r="A653" s="417" t="s">
        <v>1552</v>
      </c>
      <c r="B653" s="417" t="s">
        <v>1551</v>
      </c>
      <c r="C653" s="417" t="s">
        <v>12</v>
      </c>
    </row>
    <row r="654" spans="1:3" ht="12.75">
      <c r="A654" s="417" t="s">
        <v>1554</v>
      </c>
      <c r="B654" s="417" t="s">
        <v>1553</v>
      </c>
      <c r="C654" s="417" t="s">
        <v>12</v>
      </c>
    </row>
    <row r="655" spans="1:3" ht="12.75">
      <c r="A655" s="417" t="s">
        <v>48</v>
      </c>
      <c r="B655" s="417" t="s">
        <v>1555</v>
      </c>
      <c r="C655" s="417" t="s">
        <v>12</v>
      </c>
    </row>
    <row r="656" spans="1:3" ht="12.75">
      <c r="A656" s="417" t="s">
        <v>1557</v>
      </c>
      <c r="B656" s="417" t="s">
        <v>1556</v>
      </c>
      <c r="C656" s="417" t="s">
        <v>12</v>
      </c>
    </row>
    <row r="657" spans="1:3" ht="12.75">
      <c r="A657" s="417" t="s">
        <v>1559</v>
      </c>
      <c r="B657" s="417" t="s">
        <v>1558</v>
      </c>
      <c r="C657" s="417" t="s">
        <v>11</v>
      </c>
    </row>
    <row r="658" spans="1:3" ht="12.75">
      <c r="A658" s="417" t="s">
        <v>1561</v>
      </c>
      <c r="B658" s="417" t="s">
        <v>1560</v>
      </c>
      <c r="C658" s="417" t="s">
        <v>12</v>
      </c>
    </row>
    <row r="659" spans="1:3" ht="12.75">
      <c r="A659" s="417" t="s">
        <v>1563</v>
      </c>
      <c r="B659" s="417" t="s">
        <v>1562</v>
      </c>
      <c r="C659" s="417" t="s">
        <v>11</v>
      </c>
    </row>
    <row r="660" spans="1:3" ht="12.75">
      <c r="A660" s="417" t="s">
        <v>1565</v>
      </c>
      <c r="B660" s="417" t="s">
        <v>1564</v>
      </c>
      <c r="C660" s="417" t="s">
        <v>12</v>
      </c>
    </row>
    <row r="661" spans="1:3" ht="12.75">
      <c r="A661" s="417" t="s">
        <v>1567</v>
      </c>
      <c r="B661" s="417" t="s">
        <v>1566</v>
      </c>
      <c r="C661" s="417" t="s">
        <v>12</v>
      </c>
    </row>
    <row r="662" spans="1:3" ht="12.75">
      <c r="A662" s="417" t="s">
        <v>1569</v>
      </c>
      <c r="B662" s="417" t="s">
        <v>1568</v>
      </c>
      <c r="C662" s="417" t="s">
        <v>12</v>
      </c>
    </row>
    <row r="663" spans="1:3" ht="12.75">
      <c r="A663" s="417" t="s">
        <v>1571</v>
      </c>
      <c r="B663" s="417" t="s">
        <v>1570</v>
      </c>
      <c r="C663" s="417" t="s">
        <v>12</v>
      </c>
    </row>
    <row r="664" spans="1:3" ht="12.75">
      <c r="A664" s="417" t="s">
        <v>1573</v>
      </c>
      <c r="B664" s="417" t="s">
        <v>1572</v>
      </c>
      <c r="C664" s="417" t="s">
        <v>12</v>
      </c>
    </row>
    <row r="665" spans="1:3" ht="12.75">
      <c r="A665" s="417" t="s">
        <v>1575</v>
      </c>
      <c r="B665" s="417" t="s">
        <v>1574</v>
      </c>
      <c r="C665" s="417" t="s">
        <v>12</v>
      </c>
    </row>
    <row r="666" spans="1:3" ht="12.75">
      <c r="A666" s="417" t="s">
        <v>1577</v>
      </c>
      <c r="B666" s="417" t="s">
        <v>1576</v>
      </c>
      <c r="C666" s="417" t="s">
        <v>11</v>
      </c>
    </row>
    <row r="667" spans="1:3" ht="12.75">
      <c r="A667" s="417" t="s">
        <v>1579</v>
      </c>
      <c r="B667" s="417" t="s">
        <v>1578</v>
      </c>
      <c r="C667" s="417" t="s">
        <v>12</v>
      </c>
    </row>
    <row r="668" spans="1:3" ht="12.75">
      <c r="A668" s="417" t="s">
        <v>1581</v>
      </c>
      <c r="B668" s="417" t="s">
        <v>1580</v>
      </c>
      <c r="C668" s="417" t="s">
        <v>12</v>
      </c>
    </row>
    <row r="669" spans="1:3" ht="12.75">
      <c r="A669" s="417" t="s">
        <v>1583</v>
      </c>
      <c r="B669" s="417" t="s">
        <v>1582</v>
      </c>
      <c r="C669" s="417" t="s">
        <v>12</v>
      </c>
    </row>
    <row r="670" spans="1:3" ht="12.75">
      <c r="A670" s="417" t="s">
        <v>1585</v>
      </c>
      <c r="B670" s="417" t="s">
        <v>1584</v>
      </c>
      <c r="C670" s="417" t="s">
        <v>12</v>
      </c>
    </row>
    <row r="671" spans="1:3" ht="12.75">
      <c r="A671" s="417" t="s">
        <v>1587</v>
      </c>
      <c r="B671" s="417" t="s">
        <v>1586</v>
      </c>
      <c r="C671" s="417" t="s">
        <v>11</v>
      </c>
    </row>
    <row r="672" spans="1:3" ht="12.75">
      <c r="A672" s="417" t="s">
        <v>1589</v>
      </c>
      <c r="B672" s="417" t="s">
        <v>1588</v>
      </c>
      <c r="C672" s="417" t="s">
        <v>12</v>
      </c>
    </row>
    <row r="673" spans="1:3" ht="12.75">
      <c r="A673" s="417" t="s">
        <v>1591</v>
      </c>
      <c r="B673" s="417" t="s">
        <v>1590</v>
      </c>
      <c r="C673" s="417" t="s">
        <v>12</v>
      </c>
    </row>
    <row r="674" spans="1:3" ht="12.75">
      <c r="A674" s="417" t="s">
        <v>1593</v>
      </c>
      <c r="B674" s="417" t="s">
        <v>1592</v>
      </c>
      <c r="C674" s="417" t="s">
        <v>11</v>
      </c>
    </row>
    <row r="675" spans="1:3" ht="12.75">
      <c r="A675" s="417" t="s">
        <v>1595</v>
      </c>
      <c r="B675" s="417" t="s">
        <v>1594</v>
      </c>
      <c r="C675" s="417" t="s">
        <v>11</v>
      </c>
    </row>
    <row r="676" spans="1:3" ht="12.75">
      <c r="A676" s="417" t="s">
        <v>1597</v>
      </c>
      <c r="B676" s="417" t="s">
        <v>1596</v>
      </c>
      <c r="C676" s="417" t="s">
        <v>12</v>
      </c>
    </row>
    <row r="677" spans="1:3" ht="12.75">
      <c r="A677" s="417" t="s">
        <v>1599</v>
      </c>
      <c r="B677" s="417" t="s">
        <v>1598</v>
      </c>
      <c r="C677" s="417" t="s">
        <v>11</v>
      </c>
    </row>
    <row r="678" spans="1:3" ht="12.75">
      <c r="A678" s="417" t="s">
        <v>1601</v>
      </c>
      <c r="B678" s="417" t="s">
        <v>1600</v>
      </c>
      <c r="C678" s="417" t="s">
        <v>11</v>
      </c>
    </row>
    <row r="679" spans="1:3" ht="12.75">
      <c r="A679" s="417" t="s">
        <v>1603</v>
      </c>
      <c r="B679" s="417" t="s">
        <v>1602</v>
      </c>
      <c r="C679" s="417" t="s">
        <v>11</v>
      </c>
    </row>
    <row r="680" spans="1:3" ht="12.75">
      <c r="A680" s="417" t="s">
        <v>1605</v>
      </c>
      <c r="B680" s="417" t="s">
        <v>1604</v>
      </c>
      <c r="C680" s="417" t="s">
        <v>11</v>
      </c>
    </row>
    <row r="681" spans="1:3" ht="12.75">
      <c r="A681" s="417" t="s">
        <v>1607</v>
      </c>
      <c r="B681" s="417" t="s">
        <v>1606</v>
      </c>
      <c r="C681" s="417" t="s">
        <v>11</v>
      </c>
    </row>
    <row r="682" spans="1:3" ht="12.75">
      <c r="A682" s="417" t="s">
        <v>1609</v>
      </c>
      <c r="B682" s="417" t="s">
        <v>1608</v>
      </c>
      <c r="C682" s="417" t="s">
        <v>11</v>
      </c>
    </row>
    <row r="683" spans="1:3" ht="12.75">
      <c r="A683" s="417" t="s">
        <v>1611</v>
      </c>
      <c r="B683" s="417" t="s">
        <v>1610</v>
      </c>
      <c r="C683" s="417" t="s">
        <v>12</v>
      </c>
    </row>
    <row r="684" spans="1:3" ht="12.75">
      <c r="A684" s="417" t="s">
        <v>1613</v>
      </c>
      <c r="B684" s="417" t="s">
        <v>1612</v>
      </c>
      <c r="C684" s="417" t="s">
        <v>12</v>
      </c>
    </row>
    <row r="685" spans="1:3" ht="12.75">
      <c r="A685" s="417" t="s">
        <v>1615</v>
      </c>
      <c r="B685" s="417" t="s">
        <v>1614</v>
      </c>
      <c r="C685" s="417" t="s">
        <v>12</v>
      </c>
    </row>
    <row r="686" spans="1:3" ht="12.75">
      <c r="A686" s="417" t="s">
        <v>1617</v>
      </c>
      <c r="B686" s="417" t="s">
        <v>1616</v>
      </c>
      <c r="C686" s="417" t="s">
        <v>12</v>
      </c>
    </row>
    <row r="687" spans="1:3" ht="12.75">
      <c r="A687" s="417" t="s">
        <v>1619</v>
      </c>
      <c r="B687" s="417" t="s">
        <v>1618</v>
      </c>
      <c r="C687" s="417" t="s">
        <v>12</v>
      </c>
    </row>
    <row r="688" spans="1:3" ht="12.75">
      <c r="A688" s="417" t="s">
        <v>1621</v>
      </c>
      <c r="B688" s="417" t="s">
        <v>1620</v>
      </c>
      <c r="C688" s="417" t="s">
        <v>12</v>
      </c>
    </row>
    <row r="689" spans="1:3" ht="12.75">
      <c r="A689" s="417" t="s">
        <v>1623</v>
      </c>
      <c r="B689" s="417" t="s">
        <v>1622</v>
      </c>
      <c r="C689" s="417" t="s">
        <v>11</v>
      </c>
    </row>
    <row r="690" spans="1:3" ht="12.75">
      <c r="A690" s="417" t="s">
        <v>1625</v>
      </c>
      <c r="B690" s="417" t="s">
        <v>1624</v>
      </c>
      <c r="C690" s="417" t="s">
        <v>11</v>
      </c>
    </row>
    <row r="691" spans="1:3" ht="12.75">
      <c r="A691" s="417" t="s">
        <v>1627</v>
      </c>
      <c r="B691" s="417" t="s">
        <v>1626</v>
      </c>
      <c r="C691" s="417" t="s">
        <v>12</v>
      </c>
    </row>
    <row r="692" spans="1:3" ht="12.75">
      <c r="A692" s="417" t="s">
        <v>1629</v>
      </c>
      <c r="B692" s="417" t="s">
        <v>1628</v>
      </c>
      <c r="C692" s="417" t="s">
        <v>11</v>
      </c>
    </row>
    <row r="693" spans="1:3" ht="12.75">
      <c r="A693" s="417" t="s">
        <v>1631</v>
      </c>
      <c r="B693" s="417" t="s">
        <v>1630</v>
      </c>
      <c r="C693" s="417" t="s">
        <v>11</v>
      </c>
    </row>
    <row r="694" spans="1:3" ht="12.75">
      <c r="A694" s="417" t="s">
        <v>1633</v>
      </c>
      <c r="B694" s="417" t="s">
        <v>1632</v>
      </c>
      <c r="C694" s="417" t="s">
        <v>12</v>
      </c>
    </row>
    <row r="695" spans="1:3" ht="12.75">
      <c r="A695" s="417" t="s">
        <v>1635</v>
      </c>
      <c r="B695" s="417" t="s">
        <v>1634</v>
      </c>
      <c r="C695" s="417" t="s">
        <v>12</v>
      </c>
    </row>
    <row r="696" spans="1:3" ht="12.75">
      <c r="A696" s="417" t="s">
        <v>1637</v>
      </c>
      <c r="B696" s="417" t="s">
        <v>1636</v>
      </c>
      <c r="C696" s="417" t="s">
        <v>11</v>
      </c>
    </row>
    <row r="697" spans="1:3" ht="12.75">
      <c r="A697" s="417" t="s">
        <v>1639</v>
      </c>
      <c r="B697" s="417" t="s">
        <v>1638</v>
      </c>
      <c r="C697" s="417" t="s">
        <v>11</v>
      </c>
    </row>
    <row r="698" spans="1:3" ht="12.75">
      <c r="A698" s="417" t="s">
        <v>1641</v>
      </c>
      <c r="B698" s="417" t="s">
        <v>1640</v>
      </c>
      <c r="C698" s="417" t="s">
        <v>11</v>
      </c>
    </row>
    <row r="699" spans="1:3" ht="12.75">
      <c r="A699" s="417" t="s">
        <v>1643</v>
      </c>
      <c r="B699" s="417" t="s">
        <v>1642</v>
      </c>
      <c r="C699" s="417" t="s">
        <v>11</v>
      </c>
    </row>
    <row r="700" spans="1:3" ht="12.75">
      <c r="A700" s="417" t="s">
        <v>1645</v>
      </c>
      <c r="B700" s="417" t="s">
        <v>1644</v>
      </c>
      <c r="C700" s="417" t="s">
        <v>11</v>
      </c>
    </row>
    <row r="701" spans="1:3" ht="12.75">
      <c r="A701" s="417" t="s">
        <v>1647</v>
      </c>
      <c r="B701" s="417" t="s">
        <v>1646</v>
      </c>
      <c r="C701" s="417" t="s">
        <v>11</v>
      </c>
    </row>
    <row r="702" spans="1:3" ht="12.75">
      <c r="A702" s="417" t="s">
        <v>1649</v>
      </c>
      <c r="B702" s="417" t="s">
        <v>1648</v>
      </c>
      <c r="C702" s="417" t="s">
        <v>12</v>
      </c>
    </row>
    <row r="703" spans="1:3" ht="12.75">
      <c r="A703" s="417" t="s">
        <v>1651</v>
      </c>
      <c r="B703" s="417" t="s">
        <v>1650</v>
      </c>
      <c r="C703" s="417" t="s">
        <v>11</v>
      </c>
    </row>
    <row r="704" spans="1:3" ht="12.75">
      <c r="A704" s="417" t="s">
        <v>1653</v>
      </c>
      <c r="B704" s="417" t="s">
        <v>1652</v>
      </c>
      <c r="C704" s="417" t="s">
        <v>11</v>
      </c>
    </row>
    <row r="705" spans="1:3" ht="12.75">
      <c r="A705" s="417" t="s">
        <v>1655</v>
      </c>
      <c r="B705" s="417" t="s">
        <v>1654</v>
      </c>
      <c r="C705" s="417" t="s">
        <v>11</v>
      </c>
    </row>
    <row r="706" spans="1:3" ht="12.75">
      <c r="A706" s="417" t="s">
        <v>1657</v>
      </c>
      <c r="B706" s="417" t="s">
        <v>1656</v>
      </c>
      <c r="C706" s="417" t="s">
        <v>11</v>
      </c>
    </row>
    <row r="707" spans="1:3" ht="12.75">
      <c r="A707" s="417" t="s">
        <v>1659</v>
      </c>
      <c r="B707" s="417" t="s">
        <v>1658</v>
      </c>
      <c r="C707" s="417" t="s">
        <v>12</v>
      </c>
    </row>
    <row r="708" spans="1:3" ht="12.75">
      <c r="A708" s="417" t="s">
        <v>1661</v>
      </c>
      <c r="B708" s="417" t="s">
        <v>1660</v>
      </c>
      <c r="C708" s="417" t="s">
        <v>12</v>
      </c>
    </row>
    <row r="709" spans="1:3" ht="12.75">
      <c r="A709" s="417" t="s">
        <v>1663</v>
      </c>
      <c r="B709" s="417" t="s">
        <v>1662</v>
      </c>
      <c r="C709" s="417" t="s">
        <v>12</v>
      </c>
    </row>
    <row r="710" spans="1:3" ht="12.75">
      <c r="A710" s="417" t="s">
        <v>1665</v>
      </c>
      <c r="B710" s="417" t="s">
        <v>1664</v>
      </c>
      <c r="C710" s="417" t="s">
        <v>12</v>
      </c>
    </row>
    <row r="711" spans="1:3" ht="12.75">
      <c r="A711" s="417" t="s">
        <v>1667</v>
      </c>
      <c r="B711" s="417" t="s">
        <v>1666</v>
      </c>
      <c r="C711" s="417" t="s">
        <v>12</v>
      </c>
    </row>
    <row r="712" spans="1:3" ht="12.75">
      <c r="A712" s="417" t="s">
        <v>1669</v>
      </c>
      <c r="B712" s="417" t="s">
        <v>1668</v>
      </c>
      <c r="C712" s="417" t="s">
        <v>12</v>
      </c>
    </row>
    <row r="713" spans="1:3" ht="12.75">
      <c r="A713" s="417" t="s">
        <v>1671</v>
      </c>
      <c r="B713" s="417" t="s">
        <v>1670</v>
      </c>
      <c r="C713" s="417" t="s">
        <v>12</v>
      </c>
    </row>
    <row r="714" spans="1:3" ht="12.75">
      <c r="A714" s="417" t="s">
        <v>1673</v>
      </c>
      <c r="B714" s="417" t="s">
        <v>1672</v>
      </c>
      <c r="C714" s="417" t="s">
        <v>12</v>
      </c>
    </row>
    <row r="715" spans="1:3" ht="12.75">
      <c r="A715" s="417" t="s">
        <v>1675</v>
      </c>
      <c r="B715" s="417" t="s">
        <v>1674</v>
      </c>
      <c r="C715" s="417" t="s">
        <v>12</v>
      </c>
    </row>
    <row r="716" spans="1:3" ht="12.75">
      <c r="A716" s="417" t="s">
        <v>1677</v>
      </c>
      <c r="B716" s="417" t="s">
        <v>1676</v>
      </c>
      <c r="C716" s="417" t="s">
        <v>12</v>
      </c>
    </row>
    <row r="717" spans="1:3" ht="12.75">
      <c r="A717" s="417" t="s">
        <v>1679</v>
      </c>
      <c r="B717" s="417" t="s">
        <v>1678</v>
      </c>
      <c r="C717" s="417" t="s">
        <v>11</v>
      </c>
    </row>
    <row r="718" spans="1:3" ht="12.75">
      <c r="A718" s="417" t="s">
        <v>1681</v>
      </c>
      <c r="B718" s="417" t="s">
        <v>1680</v>
      </c>
      <c r="C718" s="417" t="s">
        <v>11</v>
      </c>
    </row>
    <row r="719" spans="1:3" ht="12.75">
      <c r="A719" s="417" t="s">
        <v>1683</v>
      </c>
      <c r="B719" s="417" t="s">
        <v>1682</v>
      </c>
      <c r="C719" s="417" t="s">
        <v>11</v>
      </c>
    </row>
    <row r="720" spans="1:3" ht="12.75">
      <c r="A720" s="417" t="s">
        <v>1685</v>
      </c>
      <c r="B720" s="417" t="s">
        <v>1684</v>
      </c>
      <c r="C720" s="417" t="s">
        <v>11</v>
      </c>
    </row>
    <row r="721" spans="1:3" ht="12.75">
      <c r="A721" s="417" t="s">
        <v>1687</v>
      </c>
      <c r="B721" s="417" t="s">
        <v>1686</v>
      </c>
      <c r="C721" s="417" t="s">
        <v>11</v>
      </c>
    </row>
    <row r="722" spans="1:3" ht="12.75">
      <c r="A722" s="417" t="s">
        <v>1689</v>
      </c>
      <c r="B722" s="417" t="s">
        <v>1688</v>
      </c>
      <c r="C722" s="417" t="s">
        <v>11</v>
      </c>
    </row>
    <row r="723" spans="1:3" ht="12.75">
      <c r="A723" s="417" t="s">
        <v>1691</v>
      </c>
      <c r="B723" s="417" t="s">
        <v>1690</v>
      </c>
      <c r="C723" s="417" t="s">
        <v>11</v>
      </c>
    </row>
    <row r="724" spans="1:3" ht="12.75">
      <c r="A724" s="417" t="s">
        <v>1693</v>
      </c>
      <c r="B724" s="417" t="s">
        <v>1692</v>
      </c>
      <c r="C724" s="417" t="s">
        <v>11</v>
      </c>
    </row>
    <row r="725" spans="1:3" ht="12.75">
      <c r="A725" s="417" t="s">
        <v>1695</v>
      </c>
      <c r="B725" s="417" t="s">
        <v>1694</v>
      </c>
      <c r="C725" s="417" t="s">
        <v>11</v>
      </c>
    </row>
    <row r="726" spans="1:3" ht="12.75">
      <c r="A726" s="417" t="s">
        <v>1697</v>
      </c>
      <c r="B726" s="417" t="s">
        <v>1696</v>
      </c>
      <c r="C726" s="417" t="s">
        <v>11</v>
      </c>
    </row>
    <row r="727" spans="1:3" ht="12.75">
      <c r="A727" s="417" t="s">
        <v>1699</v>
      </c>
      <c r="B727" s="417" t="s">
        <v>1698</v>
      </c>
      <c r="C727" s="417" t="s">
        <v>11</v>
      </c>
    </row>
    <row r="728" spans="1:3" ht="12.75">
      <c r="A728" s="417" t="s">
        <v>1701</v>
      </c>
      <c r="B728" s="417" t="s">
        <v>1700</v>
      </c>
      <c r="C728" s="417" t="s">
        <v>11</v>
      </c>
    </row>
    <row r="729" spans="1:3" ht="12.75">
      <c r="A729" s="417" t="s">
        <v>1703</v>
      </c>
      <c r="B729" s="417" t="s">
        <v>1702</v>
      </c>
      <c r="C729" s="417" t="s">
        <v>11</v>
      </c>
    </row>
    <row r="730" spans="1:3" ht="12.75">
      <c r="A730" s="417" t="s">
        <v>1705</v>
      </c>
      <c r="B730" s="417" t="s">
        <v>1704</v>
      </c>
      <c r="C730" s="417" t="s">
        <v>11</v>
      </c>
    </row>
    <row r="731" spans="1:3" ht="12.75">
      <c r="A731" s="417" t="s">
        <v>1707</v>
      </c>
      <c r="B731" s="417" t="s">
        <v>1706</v>
      </c>
      <c r="C731" s="417" t="s">
        <v>11</v>
      </c>
    </row>
    <row r="732" spans="1:3" ht="12.75">
      <c r="A732" s="417" t="s">
        <v>1709</v>
      </c>
      <c r="B732" s="417" t="s">
        <v>1708</v>
      </c>
      <c r="C732" s="417" t="s">
        <v>11</v>
      </c>
    </row>
    <row r="733" spans="1:3" ht="12.75">
      <c r="A733" s="417" t="s">
        <v>1711</v>
      </c>
      <c r="B733" s="417" t="s">
        <v>1710</v>
      </c>
      <c r="C733" s="417" t="s">
        <v>11</v>
      </c>
    </row>
    <row r="734" spans="1:3" ht="12.75">
      <c r="A734" s="417" t="s">
        <v>1713</v>
      </c>
      <c r="B734" s="417" t="s">
        <v>1712</v>
      </c>
      <c r="C734" s="417" t="s">
        <v>11</v>
      </c>
    </row>
    <row r="735" spans="1:3" ht="12.75">
      <c r="A735" s="417" t="s">
        <v>1715</v>
      </c>
      <c r="B735" s="417" t="s">
        <v>1714</v>
      </c>
      <c r="C735" s="417" t="s">
        <v>11</v>
      </c>
    </row>
    <row r="736" spans="1:3" ht="12.75">
      <c r="A736" s="417" t="s">
        <v>1717</v>
      </c>
      <c r="B736" s="417" t="s">
        <v>1716</v>
      </c>
      <c r="C736" s="417" t="s">
        <v>11</v>
      </c>
    </row>
    <row r="737" spans="1:3" ht="12.75">
      <c r="A737" s="417" t="s">
        <v>1719</v>
      </c>
      <c r="B737" s="417" t="s">
        <v>1718</v>
      </c>
      <c r="C737" s="417" t="s">
        <v>11</v>
      </c>
    </row>
    <row r="738" spans="1:3" ht="12.75">
      <c r="A738" s="417" t="s">
        <v>1721</v>
      </c>
      <c r="B738" s="417" t="s">
        <v>1720</v>
      </c>
      <c r="C738" s="417" t="s">
        <v>11</v>
      </c>
    </row>
    <row r="739" spans="1:3" ht="12.75">
      <c r="A739" s="417" t="s">
        <v>1723</v>
      </c>
      <c r="B739" s="417" t="s">
        <v>1722</v>
      </c>
      <c r="C739" s="417" t="s">
        <v>11</v>
      </c>
    </row>
    <row r="740" spans="1:3" ht="12.75">
      <c r="A740" s="417" t="s">
        <v>1725</v>
      </c>
      <c r="B740" s="417" t="s">
        <v>1724</v>
      </c>
      <c r="C740" s="417" t="s">
        <v>11</v>
      </c>
    </row>
    <row r="741" spans="1:3" ht="12.75">
      <c r="A741" s="417" t="s">
        <v>1727</v>
      </c>
      <c r="B741" s="417" t="s">
        <v>1726</v>
      </c>
      <c r="C741" s="417" t="s">
        <v>11</v>
      </c>
    </row>
    <row r="742" spans="1:3" ht="12.75">
      <c r="A742" s="417" t="s">
        <v>1729</v>
      </c>
      <c r="B742" s="417" t="s">
        <v>1728</v>
      </c>
      <c r="C742" s="417" t="s">
        <v>113</v>
      </c>
    </row>
    <row r="743" spans="1:3" ht="12.75">
      <c r="A743" s="417" t="s">
        <v>1731</v>
      </c>
      <c r="B743" s="417" t="s">
        <v>1730</v>
      </c>
      <c r="C743" s="417" t="s">
        <v>12</v>
      </c>
    </row>
    <row r="744" spans="1:3" ht="12.75">
      <c r="A744" s="417" t="s">
        <v>1733</v>
      </c>
      <c r="B744" s="417" t="s">
        <v>1732</v>
      </c>
      <c r="C744" s="417" t="s">
        <v>12</v>
      </c>
    </row>
    <row r="745" spans="1:3" ht="12.75">
      <c r="A745" s="417" t="s">
        <v>168</v>
      </c>
      <c r="B745" s="417" t="s">
        <v>1734</v>
      </c>
      <c r="C745" s="417" t="s">
        <v>12</v>
      </c>
    </row>
    <row r="746" spans="1:3" ht="12.75">
      <c r="A746" s="417" t="s">
        <v>1736</v>
      </c>
      <c r="B746" s="417" t="s">
        <v>1735</v>
      </c>
      <c r="C746" s="417" t="s">
        <v>12</v>
      </c>
    </row>
    <row r="747" spans="1:3" ht="12.75">
      <c r="A747" s="417" t="s">
        <v>1738</v>
      </c>
      <c r="B747" s="417" t="s">
        <v>1737</v>
      </c>
      <c r="C747" s="417" t="s">
        <v>12</v>
      </c>
    </row>
    <row r="748" spans="1:3" ht="12.75">
      <c r="A748" s="417" t="s">
        <v>1740</v>
      </c>
      <c r="B748" s="417" t="s">
        <v>1739</v>
      </c>
      <c r="C748" s="417" t="s">
        <v>12</v>
      </c>
    </row>
    <row r="749" spans="1:3" ht="12.75">
      <c r="A749" s="417" t="s">
        <v>1742</v>
      </c>
      <c r="B749" s="417" t="s">
        <v>1741</v>
      </c>
      <c r="C749" s="417" t="s">
        <v>12</v>
      </c>
    </row>
    <row r="750" spans="1:3" ht="12.75">
      <c r="A750" s="417" t="s">
        <v>1744</v>
      </c>
      <c r="B750" s="417" t="s">
        <v>1743</v>
      </c>
      <c r="C750" s="417" t="s">
        <v>12</v>
      </c>
    </row>
    <row r="751" spans="1:3" ht="12.75">
      <c r="A751" s="417" t="s">
        <v>1746</v>
      </c>
      <c r="B751" s="417" t="s">
        <v>1745</v>
      </c>
      <c r="C751" s="417" t="s">
        <v>12</v>
      </c>
    </row>
    <row r="752" spans="1:3" ht="12.75">
      <c r="A752" s="417" t="s">
        <v>1748</v>
      </c>
      <c r="B752" s="417" t="s">
        <v>1747</v>
      </c>
      <c r="C752" s="417" t="s">
        <v>12</v>
      </c>
    </row>
    <row r="753" spans="1:3" ht="12.75">
      <c r="A753" s="417" t="s">
        <v>1750</v>
      </c>
      <c r="B753" s="417" t="s">
        <v>1749</v>
      </c>
      <c r="C753" s="417" t="s">
        <v>12</v>
      </c>
    </row>
    <row r="754" spans="1:3" ht="12.75">
      <c r="A754" s="417" t="s">
        <v>1752</v>
      </c>
      <c r="B754" s="417" t="s">
        <v>1751</v>
      </c>
      <c r="C754" s="417" t="s">
        <v>12</v>
      </c>
    </row>
    <row r="755" spans="1:3" ht="12.75">
      <c r="A755" s="417" t="s">
        <v>1754</v>
      </c>
      <c r="B755" s="417" t="s">
        <v>1753</v>
      </c>
      <c r="C755" s="417" t="s">
        <v>113</v>
      </c>
    </row>
    <row r="756" spans="1:3" ht="12.75">
      <c r="A756" s="417" t="s">
        <v>1756</v>
      </c>
      <c r="B756" s="417" t="s">
        <v>1755</v>
      </c>
      <c r="C756" s="417" t="s">
        <v>12</v>
      </c>
    </row>
    <row r="757" spans="1:3" ht="12.75">
      <c r="A757" s="417" t="s">
        <v>1758</v>
      </c>
      <c r="B757" s="417" t="s">
        <v>1757</v>
      </c>
      <c r="C757" s="417" t="s">
        <v>12</v>
      </c>
    </row>
    <row r="758" spans="1:3" ht="12.75">
      <c r="A758" s="417" t="s">
        <v>1760</v>
      </c>
      <c r="B758" s="417" t="s">
        <v>1759</v>
      </c>
      <c r="C758" s="417" t="s">
        <v>12</v>
      </c>
    </row>
    <row r="759" spans="1:3" ht="12.75">
      <c r="A759" s="417" t="s">
        <v>1762</v>
      </c>
      <c r="B759" s="417" t="s">
        <v>1761</v>
      </c>
      <c r="C759" s="417" t="s">
        <v>12</v>
      </c>
    </row>
    <row r="760" spans="1:3" ht="12.75">
      <c r="A760" s="417" t="s">
        <v>1764</v>
      </c>
      <c r="B760" s="417" t="s">
        <v>1763</v>
      </c>
      <c r="C760" s="417" t="s">
        <v>12</v>
      </c>
    </row>
    <row r="761" spans="1:3" ht="12.75">
      <c r="A761" s="417" t="s">
        <v>1766</v>
      </c>
      <c r="B761" s="417" t="s">
        <v>1765</v>
      </c>
      <c r="C761" s="417" t="s">
        <v>12</v>
      </c>
    </row>
    <row r="762" spans="1:3" ht="12.75">
      <c r="A762" s="417" t="s">
        <v>1768</v>
      </c>
      <c r="B762" s="417" t="s">
        <v>1767</v>
      </c>
      <c r="C762" s="417" t="s">
        <v>12</v>
      </c>
    </row>
    <row r="763" spans="1:3" ht="12.75">
      <c r="A763" s="417" t="s">
        <v>1770</v>
      </c>
      <c r="B763" s="417" t="s">
        <v>1769</v>
      </c>
      <c r="C763" s="417" t="s">
        <v>12</v>
      </c>
    </row>
    <row r="764" spans="1:3" ht="12.75">
      <c r="A764" s="417" t="s">
        <v>1772</v>
      </c>
      <c r="B764" s="417" t="s">
        <v>1771</v>
      </c>
      <c r="C764" s="417" t="s">
        <v>12</v>
      </c>
    </row>
    <row r="765" spans="1:3" ht="12.75">
      <c r="A765" s="417" t="s">
        <v>1774</v>
      </c>
      <c r="B765" s="417" t="s">
        <v>1773</v>
      </c>
      <c r="C765" s="417" t="s">
        <v>12</v>
      </c>
    </row>
    <row r="766" spans="1:3" ht="12.75">
      <c r="A766" s="417" t="s">
        <v>1776</v>
      </c>
      <c r="B766" s="417" t="s">
        <v>1775</v>
      </c>
      <c r="C766" s="417" t="s">
        <v>12</v>
      </c>
    </row>
    <row r="767" spans="1:3" ht="12.75">
      <c r="A767" s="417" t="s">
        <v>1778</v>
      </c>
      <c r="B767" s="417" t="s">
        <v>1777</v>
      </c>
      <c r="C767" s="417" t="s">
        <v>12</v>
      </c>
    </row>
    <row r="768" spans="1:3" ht="12.75">
      <c r="A768" s="417" t="s">
        <v>1780</v>
      </c>
      <c r="B768" s="417" t="s">
        <v>1779</v>
      </c>
      <c r="C768" s="417" t="s">
        <v>12</v>
      </c>
    </row>
    <row r="769" spans="1:3" ht="12.75">
      <c r="A769" s="417" t="s">
        <v>1782</v>
      </c>
      <c r="B769" s="417" t="s">
        <v>1781</v>
      </c>
      <c r="C769" s="417" t="s">
        <v>12</v>
      </c>
    </row>
    <row r="770" spans="1:3" ht="12.75">
      <c r="A770" s="417" t="s">
        <v>1784</v>
      </c>
      <c r="B770" s="417" t="s">
        <v>1783</v>
      </c>
      <c r="C770" s="417" t="s">
        <v>12</v>
      </c>
    </row>
    <row r="771" spans="1:3" ht="12.75">
      <c r="A771" s="417" t="s">
        <v>1786</v>
      </c>
      <c r="B771" s="417" t="s">
        <v>1785</v>
      </c>
      <c r="C771" s="417" t="s">
        <v>113</v>
      </c>
    </row>
    <row r="772" spans="1:3" ht="12.75">
      <c r="A772" s="417" t="s">
        <v>1788</v>
      </c>
      <c r="B772" s="417" t="s">
        <v>1787</v>
      </c>
      <c r="C772" s="417" t="s">
        <v>113</v>
      </c>
    </row>
    <row r="773" spans="1:3" ht="12.75">
      <c r="A773" s="417" t="s">
        <v>1790</v>
      </c>
      <c r="B773" s="417" t="s">
        <v>1789</v>
      </c>
      <c r="C773" s="417" t="s">
        <v>12</v>
      </c>
    </row>
    <row r="774" spans="1:3" ht="12.75">
      <c r="A774" s="417" t="s">
        <v>319</v>
      </c>
      <c r="B774" s="417" t="s">
        <v>1791</v>
      </c>
      <c r="C774" s="417" t="s">
        <v>12</v>
      </c>
    </row>
    <row r="775" spans="1:3" ht="12.75">
      <c r="A775" s="417" t="s">
        <v>169</v>
      </c>
      <c r="B775" s="417" t="s">
        <v>1792</v>
      </c>
      <c r="C775" s="417" t="s">
        <v>12</v>
      </c>
    </row>
    <row r="776" spans="1:3" ht="12.75">
      <c r="A776" s="417" t="s">
        <v>1794</v>
      </c>
      <c r="B776" s="417" t="s">
        <v>1793</v>
      </c>
      <c r="C776" s="417" t="s">
        <v>12</v>
      </c>
    </row>
    <row r="777" spans="1:3" ht="12.75">
      <c r="A777" s="417" t="s">
        <v>1796</v>
      </c>
      <c r="B777" s="417" t="s">
        <v>1795</v>
      </c>
      <c r="C777" s="417" t="s">
        <v>12</v>
      </c>
    </row>
    <row r="778" spans="1:3" ht="12.75">
      <c r="A778" s="417" t="s">
        <v>170</v>
      </c>
      <c r="B778" s="417" t="s">
        <v>1797</v>
      </c>
      <c r="C778" s="417" t="s">
        <v>12</v>
      </c>
    </row>
    <row r="779" spans="1:3" ht="12.75">
      <c r="A779" s="417" t="s">
        <v>1799</v>
      </c>
      <c r="B779" s="417" t="s">
        <v>1798</v>
      </c>
      <c r="C779" s="417" t="s">
        <v>12</v>
      </c>
    </row>
    <row r="780" spans="1:3" ht="12.75">
      <c r="A780" s="417" t="s">
        <v>1801</v>
      </c>
      <c r="B780" s="417" t="s">
        <v>1800</v>
      </c>
      <c r="C780" s="417" t="s">
        <v>12</v>
      </c>
    </row>
    <row r="781" spans="1:3" ht="12.75">
      <c r="A781" s="417" t="s">
        <v>1803</v>
      </c>
      <c r="B781" s="417" t="s">
        <v>1802</v>
      </c>
      <c r="C781" s="417" t="s">
        <v>12</v>
      </c>
    </row>
    <row r="782" spans="1:3" ht="12.75">
      <c r="A782" s="417" t="s">
        <v>1805</v>
      </c>
      <c r="B782" s="417" t="s">
        <v>1804</v>
      </c>
      <c r="C782" s="417" t="s">
        <v>12</v>
      </c>
    </row>
    <row r="783" spans="1:3" ht="12.75">
      <c r="A783" s="417" t="s">
        <v>1807</v>
      </c>
      <c r="B783" s="417" t="s">
        <v>1806</v>
      </c>
      <c r="C783" s="417" t="s">
        <v>12</v>
      </c>
    </row>
    <row r="784" spans="1:3" ht="12.75">
      <c r="A784" s="417" t="s">
        <v>1809</v>
      </c>
      <c r="B784" s="417" t="s">
        <v>1808</v>
      </c>
      <c r="C784" s="417" t="s">
        <v>12</v>
      </c>
    </row>
    <row r="785" spans="1:3" ht="12.75">
      <c r="A785" s="417" t="s">
        <v>1811</v>
      </c>
      <c r="B785" s="417" t="s">
        <v>1810</v>
      </c>
      <c r="C785" s="417" t="s">
        <v>12</v>
      </c>
    </row>
    <row r="786" spans="1:3" ht="12.75">
      <c r="A786" s="417" t="s">
        <v>1813</v>
      </c>
      <c r="B786" s="417" t="s">
        <v>1812</v>
      </c>
      <c r="C786" s="417" t="s">
        <v>12</v>
      </c>
    </row>
    <row r="787" spans="1:3" ht="12.75">
      <c r="A787" s="417" t="s">
        <v>1815</v>
      </c>
      <c r="B787" s="417" t="s">
        <v>1814</v>
      </c>
      <c r="C787" s="417" t="s">
        <v>12</v>
      </c>
    </row>
    <row r="788" spans="1:3" ht="12.75">
      <c r="A788" s="417" t="s">
        <v>1817</v>
      </c>
      <c r="B788" s="417" t="s">
        <v>1816</v>
      </c>
      <c r="C788" s="417" t="s">
        <v>12</v>
      </c>
    </row>
    <row r="789" spans="1:3" ht="12.75">
      <c r="A789" s="417" t="s">
        <v>1819</v>
      </c>
      <c r="B789" s="417" t="s">
        <v>1818</v>
      </c>
      <c r="C789" s="417" t="s">
        <v>12</v>
      </c>
    </row>
    <row r="790" spans="1:3" ht="12.75">
      <c r="A790" s="417" t="s">
        <v>1821</v>
      </c>
      <c r="B790" s="417" t="s">
        <v>1820</v>
      </c>
      <c r="C790" s="417" t="s">
        <v>12</v>
      </c>
    </row>
    <row r="791" spans="1:3" ht="12.75">
      <c r="A791" s="417" t="s">
        <v>1823</v>
      </c>
      <c r="B791" s="417" t="s">
        <v>1822</v>
      </c>
      <c r="C791" s="417" t="s">
        <v>12</v>
      </c>
    </row>
    <row r="792" spans="1:3" ht="12.75">
      <c r="A792" s="417" t="s">
        <v>1825</v>
      </c>
      <c r="B792" s="417" t="s">
        <v>1824</v>
      </c>
      <c r="C792" s="417" t="s">
        <v>12</v>
      </c>
    </row>
    <row r="793" spans="1:3" ht="12.75">
      <c r="A793" s="417" t="s">
        <v>1827</v>
      </c>
      <c r="B793" s="417" t="s">
        <v>1826</v>
      </c>
      <c r="C793" s="417" t="s">
        <v>12</v>
      </c>
    </row>
    <row r="794" spans="1:3" ht="12.75">
      <c r="A794" s="417" t="s">
        <v>1829</v>
      </c>
      <c r="B794" s="417" t="s">
        <v>1828</v>
      </c>
      <c r="C794" s="417" t="s">
        <v>12</v>
      </c>
    </row>
    <row r="795" spans="1:3" ht="12.75">
      <c r="A795" s="417" t="s">
        <v>1831</v>
      </c>
      <c r="B795" s="417" t="s">
        <v>1830</v>
      </c>
      <c r="C795" s="417" t="s">
        <v>12</v>
      </c>
    </row>
    <row r="796" spans="1:3" ht="12.75">
      <c r="A796" s="417" t="s">
        <v>1833</v>
      </c>
      <c r="B796" s="417" t="s">
        <v>1832</v>
      </c>
      <c r="C796" s="417" t="s">
        <v>12</v>
      </c>
    </row>
    <row r="797" spans="1:3" ht="12.75">
      <c r="A797" s="417" t="s">
        <v>1835</v>
      </c>
      <c r="B797" s="417" t="s">
        <v>1834</v>
      </c>
      <c r="C797" s="417" t="s">
        <v>12</v>
      </c>
    </row>
    <row r="798" spans="1:3" ht="12.75">
      <c r="A798" s="417" t="s">
        <v>1837</v>
      </c>
      <c r="B798" s="417" t="s">
        <v>1836</v>
      </c>
      <c r="C798" s="417" t="s">
        <v>12</v>
      </c>
    </row>
    <row r="799" spans="1:3" ht="12.75">
      <c r="A799" s="417" t="s">
        <v>1839</v>
      </c>
      <c r="B799" s="417" t="s">
        <v>1838</v>
      </c>
      <c r="C799" s="417" t="s">
        <v>12</v>
      </c>
    </row>
    <row r="800" spans="1:3" ht="12.75">
      <c r="A800" s="417" t="s">
        <v>1841</v>
      </c>
      <c r="B800" s="417" t="s">
        <v>1840</v>
      </c>
      <c r="C800" s="417" t="s">
        <v>12</v>
      </c>
    </row>
    <row r="801" spans="1:3" ht="12.75">
      <c r="A801" s="417" t="s">
        <v>1843</v>
      </c>
      <c r="B801" s="417" t="s">
        <v>1842</v>
      </c>
      <c r="C801" s="417" t="s">
        <v>12</v>
      </c>
    </row>
    <row r="802" spans="1:3" ht="12.75">
      <c r="A802" s="417" t="s">
        <v>1845</v>
      </c>
      <c r="B802" s="417" t="s">
        <v>1844</v>
      </c>
      <c r="C802" s="417" t="s">
        <v>12</v>
      </c>
    </row>
    <row r="803" spans="1:3" ht="12.75">
      <c r="A803" s="417" t="s">
        <v>1847</v>
      </c>
      <c r="B803" s="417" t="s">
        <v>1846</v>
      </c>
      <c r="C803" s="417" t="s">
        <v>12</v>
      </c>
    </row>
    <row r="804" spans="1:3" ht="12.75">
      <c r="A804" s="417" t="s">
        <v>1849</v>
      </c>
      <c r="B804" s="417" t="s">
        <v>1848</v>
      </c>
      <c r="C804" s="417" t="s">
        <v>12</v>
      </c>
    </row>
    <row r="805" spans="1:3" ht="12.75">
      <c r="A805" s="417" t="s">
        <v>1851</v>
      </c>
      <c r="B805" s="417" t="s">
        <v>1850</v>
      </c>
      <c r="C805" s="417" t="s">
        <v>12</v>
      </c>
    </row>
    <row r="806" spans="1:3" ht="12.75">
      <c r="A806" s="417" t="s">
        <v>1853</v>
      </c>
      <c r="B806" s="417" t="s">
        <v>1852</v>
      </c>
      <c r="C806" s="417" t="s">
        <v>12</v>
      </c>
    </row>
    <row r="807" spans="1:3" ht="12.75">
      <c r="A807" s="417" t="s">
        <v>1855</v>
      </c>
      <c r="B807" s="417" t="s">
        <v>1854</v>
      </c>
      <c r="C807" s="417" t="s">
        <v>12</v>
      </c>
    </row>
    <row r="808" spans="1:3" ht="12.75">
      <c r="A808" s="417" t="s">
        <v>1857</v>
      </c>
      <c r="B808" s="417" t="s">
        <v>1856</v>
      </c>
      <c r="C808" s="417" t="s">
        <v>12</v>
      </c>
    </row>
    <row r="809" spans="1:3" ht="12.75">
      <c r="A809" s="417" t="s">
        <v>1859</v>
      </c>
      <c r="B809" s="417" t="s">
        <v>1858</v>
      </c>
      <c r="C809" s="417" t="s">
        <v>12</v>
      </c>
    </row>
    <row r="810" spans="1:3" ht="12.75">
      <c r="A810" s="417" t="s">
        <v>1861</v>
      </c>
      <c r="B810" s="417" t="s">
        <v>1860</v>
      </c>
      <c r="C810" s="417" t="s">
        <v>12</v>
      </c>
    </row>
    <row r="811" spans="1:3" ht="12.75">
      <c r="A811" s="417" t="s">
        <v>1863</v>
      </c>
      <c r="B811" s="417" t="s">
        <v>1862</v>
      </c>
      <c r="C811" s="417" t="s">
        <v>12</v>
      </c>
    </row>
    <row r="812" spans="1:3" ht="12.75">
      <c r="A812" s="417" t="s">
        <v>1865</v>
      </c>
      <c r="B812" s="417" t="s">
        <v>1864</v>
      </c>
      <c r="C812" s="417" t="s">
        <v>12</v>
      </c>
    </row>
    <row r="813" spans="1:3" ht="12.75">
      <c r="A813" s="417" t="s">
        <v>1867</v>
      </c>
      <c r="B813" s="417" t="s">
        <v>1866</v>
      </c>
      <c r="C813" s="417" t="s">
        <v>12</v>
      </c>
    </row>
    <row r="814" spans="1:3" ht="12.75">
      <c r="A814" s="417" t="s">
        <v>1869</v>
      </c>
      <c r="B814" s="417" t="s">
        <v>1868</v>
      </c>
      <c r="C814" s="417" t="s">
        <v>113</v>
      </c>
    </row>
    <row r="815" spans="1:3" ht="12.75">
      <c r="A815" s="417" t="s">
        <v>1871</v>
      </c>
      <c r="B815" s="417" t="s">
        <v>1870</v>
      </c>
      <c r="C815" s="417" t="s">
        <v>12</v>
      </c>
    </row>
    <row r="816" spans="1:3" ht="12.75">
      <c r="A816" s="417" t="s">
        <v>1873</v>
      </c>
      <c r="B816" s="417" t="s">
        <v>1872</v>
      </c>
      <c r="C816" s="417" t="s">
        <v>113</v>
      </c>
    </row>
    <row r="817" spans="1:3" ht="12.75">
      <c r="A817" s="417" t="s">
        <v>1875</v>
      </c>
      <c r="B817" s="417" t="s">
        <v>1874</v>
      </c>
      <c r="C817" s="417" t="s">
        <v>12</v>
      </c>
    </row>
    <row r="818" spans="1:3" ht="12.75">
      <c r="A818" s="417" t="s">
        <v>1877</v>
      </c>
      <c r="B818" s="417" t="s">
        <v>1876</v>
      </c>
      <c r="C818" s="417" t="s">
        <v>12</v>
      </c>
    </row>
    <row r="819" spans="1:3" ht="12.75">
      <c r="A819" s="417" t="s">
        <v>1879</v>
      </c>
      <c r="B819" s="417" t="s">
        <v>1878</v>
      </c>
      <c r="C819" s="417" t="s">
        <v>113</v>
      </c>
    </row>
    <row r="820" spans="1:3" ht="12.75">
      <c r="A820" s="417" t="s">
        <v>1881</v>
      </c>
      <c r="B820" s="417" t="s">
        <v>1880</v>
      </c>
      <c r="C820" s="417" t="s">
        <v>12</v>
      </c>
    </row>
    <row r="821" spans="1:3" ht="12.75">
      <c r="A821" s="417" t="s">
        <v>1883</v>
      </c>
      <c r="B821" s="417" t="s">
        <v>1882</v>
      </c>
      <c r="C821" s="417" t="s">
        <v>12</v>
      </c>
    </row>
    <row r="822" spans="1:3" ht="12.75">
      <c r="A822" s="417" t="s">
        <v>1885</v>
      </c>
      <c r="B822" s="417" t="s">
        <v>1884</v>
      </c>
      <c r="C822" s="417" t="s">
        <v>12</v>
      </c>
    </row>
    <row r="823" spans="1:3" ht="12.75">
      <c r="A823" s="417" t="s">
        <v>1887</v>
      </c>
      <c r="B823" s="417" t="s">
        <v>1886</v>
      </c>
      <c r="C823" s="417" t="s">
        <v>12</v>
      </c>
    </row>
    <row r="824" spans="1:3" ht="12.75">
      <c r="A824" s="417" t="s">
        <v>1889</v>
      </c>
      <c r="B824" s="417" t="s">
        <v>1888</v>
      </c>
      <c r="C824" s="417" t="s">
        <v>113</v>
      </c>
    </row>
    <row r="825" spans="1:3" ht="12.75">
      <c r="A825" s="417" t="s">
        <v>1891</v>
      </c>
      <c r="B825" s="417" t="s">
        <v>1890</v>
      </c>
      <c r="C825" s="417" t="s">
        <v>12</v>
      </c>
    </row>
    <row r="826" spans="1:3" ht="12.75">
      <c r="A826" s="417" t="s">
        <v>1893</v>
      </c>
      <c r="B826" s="417" t="s">
        <v>1892</v>
      </c>
      <c r="C826" s="417" t="s">
        <v>12</v>
      </c>
    </row>
    <row r="827" spans="1:3" ht="12.75">
      <c r="A827" s="417" t="s">
        <v>1895</v>
      </c>
      <c r="B827" s="417" t="s">
        <v>1894</v>
      </c>
      <c r="C827" s="417" t="s">
        <v>12</v>
      </c>
    </row>
    <row r="828" spans="1:3" ht="12.75">
      <c r="A828" s="417" t="s">
        <v>1897</v>
      </c>
      <c r="B828" s="417" t="s">
        <v>1896</v>
      </c>
      <c r="C828" s="417" t="s">
        <v>12</v>
      </c>
    </row>
    <row r="829" spans="1:3" ht="12.75">
      <c r="A829" s="417" t="s">
        <v>1899</v>
      </c>
      <c r="B829" s="417" t="s">
        <v>1898</v>
      </c>
      <c r="C829" s="417" t="s">
        <v>12</v>
      </c>
    </row>
    <row r="830" spans="1:3" ht="12.75">
      <c r="A830" s="417" t="s">
        <v>1901</v>
      </c>
      <c r="B830" s="417" t="s">
        <v>1900</v>
      </c>
      <c r="C830" s="417" t="s">
        <v>12</v>
      </c>
    </row>
    <row r="831" spans="1:3" ht="12.75">
      <c r="A831" s="417" t="s">
        <v>1903</v>
      </c>
      <c r="B831" s="417" t="s">
        <v>1902</v>
      </c>
      <c r="C831" s="417" t="s">
        <v>12</v>
      </c>
    </row>
    <row r="832" spans="1:3" ht="12.75">
      <c r="A832" s="417" t="s">
        <v>1905</v>
      </c>
      <c r="B832" s="417" t="s">
        <v>1904</v>
      </c>
      <c r="C832" s="417" t="s">
        <v>12</v>
      </c>
    </row>
    <row r="833" spans="1:3" ht="12.75">
      <c r="A833" s="417" t="s">
        <v>1907</v>
      </c>
      <c r="B833" s="417" t="s">
        <v>1906</v>
      </c>
      <c r="C833" s="417" t="s">
        <v>12</v>
      </c>
    </row>
    <row r="834" spans="1:3" ht="12.75">
      <c r="A834" s="417" t="s">
        <v>1909</v>
      </c>
      <c r="B834" s="417" t="s">
        <v>1908</v>
      </c>
      <c r="C834" s="417" t="s">
        <v>12</v>
      </c>
    </row>
    <row r="835" spans="1:3" ht="12.75">
      <c r="A835" s="417" t="s">
        <v>1911</v>
      </c>
      <c r="B835" s="417" t="s">
        <v>1910</v>
      </c>
      <c r="C835" s="417" t="s">
        <v>12</v>
      </c>
    </row>
    <row r="836" spans="1:3" ht="12.75">
      <c r="A836" s="417" t="s">
        <v>1913</v>
      </c>
      <c r="B836" s="417" t="s">
        <v>1912</v>
      </c>
      <c r="C836" s="417" t="s">
        <v>12</v>
      </c>
    </row>
    <row r="837" spans="1:3" ht="12.75">
      <c r="A837" s="417" t="s">
        <v>1915</v>
      </c>
      <c r="B837" s="417" t="s">
        <v>1914</v>
      </c>
      <c r="C837" s="417" t="s">
        <v>113</v>
      </c>
    </row>
    <row r="838" spans="1:3" ht="12.75">
      <c r="A838" s="417" t="s">
        <v>1917</v>
      </c>
      <c r="B838" s="417" t="s">
        <v>1916</v>
      </c>
      <c r="C838" s="417" t="s">
        <v>12</v>
      </c>
    </row>
    <row r="839" spans="1:3" ht="12.75">
      <c r="A839" s="417" t="s">
        <v>1919</v>
      </c>
      <c r="B839" s="417" t="s">
        <v>1918</v>
      </c>
      <c r="C839" s="417" t="s">
        <v>12</v>
      </c>
    </row>
    <row r="840" spans="1:3" ht="12.75">
      <c r="A840" s="417" t="s">
        <v>1921</v>
      </c>
      <c r="B840" s="417" t="s">
        <v>1920</v>
      </c>
      <c r="C840" s="417" t="s">
        <v>12</v>
      </c>
    </row>
    <row r="841" spans="1:3" ht="12.75">
      <c r="A841" s="417" t="s">
        <v>1923</v>
      </c>
      <c r="B841" s="417" t="s">
        <v>1922</v>
      </c>
      <c r="C841" s="417" t="s">
        <v>12</v>
      </c>
    </row>
    <row r="842" spans="1:3" ht="12.75">
      <c r="A842" s="417" t="s">
        <v>1925</v>
      </c>
      <c r="B842" s="417" t="s">
        <v>1924</v>
      </c>
      <c r="C842" s="417" t="s">
        <v>12</v>
      </c>
    </row>
    <row r="843" spans="1:3" ht="12.75">
      <c r="A843" s="417" t="s">
        <v>1927</v>
      </c>
      <c r="B843" s="417" t="s">
        <v>1926</v>
      </c>
      <c r="C843" s="417" t="s">
        <v>12</v>
      </c>
    </row>
    <row r="844" spans="1:3" ht="12.75">
      <c r="A844" s="417" t="s">
        <v>1929</v>
      </c>
      <c r="B844" s="417" t="s">
        <v>1928</v>
      </c>
      <c r="C844" s="417" t="s">
        <v>12</v>
      </c>
    </row>
    <row r="845" spans="1:3" ht="12.75">
      <c r="A845" s="417" t="s">
        <v>1931</v>
      </c>
      <c r="B845" s="417" t="s">
        <v>1930</v>
      </c>
      <c r="C845" s="417" t="s">
        <v>12</v>
      </c>
    </row>
    <row r="846" spans="1:3" ht="12.75">
      <c r="A846" s="417" t="s">
        <v>1933</v>
      </c>
      <c r="B846" s="417" t="s">
        <v>1932</v>
      </c>
      <c r="C846" s="417" t="s">
        <v>12</v>
      </c>
    </row>
    <row r="847" spans="1:3" ht="12.75">
      <c r="A847" s="417" t="s">
        <v>1935</v>
      </c>
      <c r="B847" s="417" t="s">
        <v>1934</v>
      </c>
      <c r="C847" s="417" t="s">
        <v>12</v>
      </c>
    </row>
    <row r="848" spans="1:3" ht="12.75">
      <c r="A848" s="417" t="s">
        <v>1937</v>
      </c>
      <c r="B848" s="417" t="s">
        <v>1936</v>
      </c>
      <c r="C848" s="417" t="s">
        <v>12</v>
      </c>
    </row>
    <row r="849" spans="1:3" ht="12.75">
      <c r="A849" s="417" t="s">
        <v>1939</v>
      </c>
      <c r="B849" s="417" t="s">
        <v>1938</v>
      </c>
      <c r="C849" s="417" t="s">
        <v>12</v>
      </c>
    </row>
    <row r="850" spans="1:3" ht="12.75">
      <c r="A850" s="417" t="s">
        <v>1941</v>
      </c>
      <c r="B850" s="417" t="s">
        <v>1940</v>
      </c>
      <c r="C850" s="417" t="s">
        <v>12</v>
      </c>
    </row>
    <row r="851" spans="1:3" ht="12.75">
      <c r="A851" s="417" t="s">
        <v>1943</v>
      </c>
      <c r="B851" s="417" t="s">
        <v>1942</v>
      </c>
      <c r="C851" s="417" t="s">
        <v>12</v>
      </c>
    </row>
    <row r="852" spans="1:3" ht="12.75">
      <c r="A852" s="417" t="s">
        <v>1945</v>
      </c>
      <c r="B852" s="417" t="s">
        <v>1944</v>
      </c>
      <c r="C852" s="417" t="s">
        <v>12</v>
      </c>
    </row>
    <row r="853" spans="1:3" ht="12.75">
      <c r="A853" s="417" t="s">
        <v>1879</v>
      </c>
      <c r="B853" s="417" t="s">
        <v>1946</v>
      </c>
      <c r="C853" s="417" t="s">
        <v>113</v>
      </c>
    </row>
    <row r="854" spans="1:3" ht="12.75">
      <c r="A854" s="417" t="s">
        <v>1948</v>
      </c>
      <c r="B854" s="417" t="s">
        <v>1947</v>
      </c>
      <c r="C854" s="417" t="s">
        <v>12</v>
      </c>
    </row>
    <row r="855" spans="1:3" ht="12.75">
      <c r="A855" s="417" t="s">
        <v>1950</v>
      </c>
      <c r="B855" s="417" t="s">
        <v>1949</v>
      </c>
      <c r="C855" s="417" t="s">
        <v>12</v>
      </c>
    </row>
    <row r="856" spans="1:3" ht="12.75">
      <c r="A856" s="417" t="s">
        <v>1952</v>
      </c>
      <c r="B856" s="417" t="s">
        <v>1951</v>
      </c>
      <c r="C856" s="417" t="s">
        <v>12</v>
      </c>
    </row>
    <row r="857" spans="1:3" ht="12.75">
      <c r="A857" s="417" t="s">
        <v>1954</v>
      </c>
      <c r="B857" s="417" t="s">
        <v>1953</v>
      </c>
      <c r="C857" s="417" t="s">
        <v>12</v>
      </c>
    </row>
    <row r="858" spans="1:3" ht="12.75">
      <c r="A858" s="417" t="s">
        <v>1956</v>
      </c>
      <c r="B858" s="417" t="s">
        <v>1955</v>
      </c>
      <c r="C858" s="417" t="s">
        <v>12</v>
      </c>
    </row>
    <row r="859" spans="1:3" ht="12.75">
      <c r="A859" s="417" t="s">
        <v>1958</v>
      </c>
      <c r="B859" s="417" t="s">
        <v>1957</v>
      </c>
      <c r="C859" s="417" t="s">
        <v>12</v>
      </c>
    </row>
    <row r="860" spans="1:3" ht="12.75">
      <c r="A860" s="417" t="s">
        <v>1960</v>
      </c>
      <c r="B860" s="417" t="s">
        <v>1959</v>
      </c>
      <c r="C860" s="417" t="s">
        <v>12</v>
      </c>
    </row>
    <row r="861" spans="1:3" ht="12.75">
      <c r="A861" s="417" t="s">
        <v>1962</v>
      </c>
      <c r="B861" s="417" t="s">
        <v>1961</v>
      </c>
      <c r="C861" s="417" t="s">
        <v>12</v>
      </c>
    </row>
    <row r="862" spans="1:3" ht="12.75">
      <c r="A862" s="417" t="s">
        <v>1964</v>
      </c>
      <c r="B862" s="417" t="s">
        <v>1963</v>
      </c>
      <c r="C862" s="417" t="s">
        <v>12</v>
      </c>
    </row>
    <row r="863" spans="1:3" ht="12.75">
      <c r="A863" s="417" t="s">
        <v>1966</v>
      </c>
      <c r="B863" s="417" t="s">
        <v>1965</v>
      </c>
      <c r="C863" s="417" t="s">
        <v>12</v>
      </c>
    </row>
    <row r="864" spans="1:3" ht="12.75">
      <c r="A864" s="417" t="s">
        <v>149</v>
      </c>
      <c r="B864" s="417" t="s">
        <v>171</v>
      </c>
      <c r="C864" s="417" t="s">
        <v>13</v>
      </c>
    </row>
    <row r="865" spans="1:3" ht="12.75">
      <c r="A865" s="417" t="s">
        <v>1967</v>
      </c>
      <c r="B865" s="417" t="s">
        <v>1968</v>
      </c>
      <c r="C865" s="417" t="s">
        <v>13</v>
      </c>
    </row>
    <row r="866" spans="1:3" ht="12.75">
      <c r="A866" s="417" t="s">
        <v>1970</v>
      </c>
      <c r="B866" s="417" t="s">
        <v>1969</v>
      </c>
      <c r="C866" s="417" t="s">
        <v>12</v>
      </c>
    </row>
    <row r="867" spans="1:3" ht="12.75">
      <c r="A867" s="417" t="s">
        <v>1967</v>
      </c>
      <c r="B867" s="417" t="s">
        <v>1971</v>
      </c>
      <c r="C867" s="417" t="s">
        <v>13</v>
      </c>
    </row>
    <row r="868" spans="1:3" ht="12.75">
      <c r="A868" s="417" t="s">
        <v>1973</v>
      </c>
      <c r="B868" s="417" t="s">
        <v>1972</v>
      </c>
      <c r="C868" s="417" t="s">
        <v>13</v>
      </c>
    </row>
    <row r="869" spans="1:3" ht="12.75">
      <c r="A869" s="417" t="s">
        <v>1967</v>
      </c>
      <c r="B869" s="417" t="s">
        <v>1974</v>
      </c>
      <c r="C869" s="417" t="s">
        <v>13</v>
      </c>
    </row>
    <row r="870" spans="1:3" ht="12.75">
      <c r="A870" s="417" t="s">
        <v>1976</v>
      </c>
      <c r="B870" s="417" t="s">
        <v>1975</v>
      </c>
      <c r="C870" s="417" t="s">
        <v>12</v>
      </c>
    </row>
    <row r="871" spans="1:3" ht="12.75">
      <c r="A871" s="417" t="s">
        <v>1978</v>
      </c>
      <c r="B871" s="417" t="s">
        <v>1977</v>
      </c>
      <c r="C871" s="417" t="s">
        <v>12</v>
      </c>
    </row>
    <row r="872" spans="1:3" ht="12.75">
      <c r="A872" s="417" t="s">
        <v>1980</v>
      </c>
      <c r="B872" s="417" t="s">
        <v>1979</v>
      </c>
      <c r="C872" s="417" t="s">
        <v>12</v>
      </c>
    </row>
    <row r="873" spans="1:3" ht="12.75">
      <c r="A873" s="417" t="s">
        <v>1982</v>
      </c>
      <c r="B873" s="417" t="s">
        <v>1981</v>
      </c>
      <c r="C873" s="417" t="s">
        <v>12</v>
      </c>
    </row>
    <row r="874" spans="1:3" ht="12.75">
      <c r="A874" s="417" t="s">
        <v>1984</v>
      </c>
      <c r="B874" s="417" t="s">
        <v>1983</v>
      </c>
      <c r="C874" s="417" t="s">
        <v>12</v>
      </c>
    </row>
    <row r="875" spans="1:3" ht="12.75">
      <c r="A875" s="417" t="s">
        <v>1967</v>
      </c>
      <c r="B875" s="417" t="s">
        <v>1985</v>
      </c>
      <c r="C875" s="417" t="s">
        <v>13</v>
      </c>
    </row>
    <row r="876" spans="1:3" ht="12.75">
      <c r="A876" s="417" t="s">
        <v>1987</v>
      </c>
      <c r="B876" s="417" t="s">
        <v>1986</v>
      </c>
      <c r="C876" s="417" t="s">
        <v>12</v>
      </c>
    </row>
    <row r="877" spans="1:3" ht="12.75">
      <c r="A877" s="417" t="s">
        <v>1989</v>
      </c>
      <c r="B877" s="417" t="s">
        <v>1988</v>
      </c>
      <c r="C877" s="417" t="s">
        <v>12</v>
      </c>
    </row>
    <row r="878" spans="1:3" ht="12.75">
      <c r="A878" s="417" t="s">
        <v>1991</v>
      </c>
      <c r="B878" s="417" t="s">
        <v>1990</v>
      </c>
      <c r="C878" s="417" t="s">
        <v>12</v>
      </c>
    </row>
    <row r="879" spans="1:3" ht="12.75">
      <c r="A879" s="417" t="s">
        <v>1993</v>
      </c>
      <c r="B879" s="417" t="s">
        <v>1992</v>
      </c>
      <c r="C879" s="417" t="s">
        <v>12</v>
      </c>
    </row>
    <row r="880" spans="1:3" ht="12.75">
      <c r="A880" s="417" t="s">
        <v>1995</v>
      </c>
      <c r="B880" s="417" t="s">
        <v>1994</v>
      </c>
      <c r="C880" s="417" t="s">
        <v>12</v>
      </c>
    </row>
    <row r="881" spans="1:3" ht="12.75">
      <c r="A881" s="417" t="s">
        <v>1967</v>
      </c>
      <c r="B881" s="417" t="s">
        <v>1996</v>
      </c>
      <c r="C881" s="417" t="s">
        <v>13</v>
      </c>
    </row>
    <row r="882" spans="1:3" ht="12.75">
      <c r="A882" s="417" t="s">
        <v>1998</v>
      </c>
      <c r="B882" s="417" t="s">
        <v>1997</v>
      </c>
      <c r="C882" s="417" t="s">
        <v>12</v>
      </c>
    </row>
    <row r="883" spans="1:3" ht="12.75">
      <c r="A883" s="417" t="s">
        <v>2000</v>
      </c>
      <c r="B883" s="417" t="s">
        <v>1999</v>
      </c>
      <c r="C883" s="417" t="s">
        <v>12</v>
      </c>
    </row>
    <row r="884" spans="1:3" ht="12.75">
      <c r="A884" s="417" t="s">
        <v>2002</v>
      </c>
      <c r="B884" s="417" t="s">
        <v>2001</v>
      </c>
      <c r="C884" s="417" t="s">
        <v>12</v>
      </c>
    </row>
    <row r="885" spans="1:3" ht="12.75">
      <c r="A885" s="417" t="s">
        <v>2004</v>
      </c>
      <c r="B885" s="417" t="s">
        <v>2003</v>
      </c>
      <c r="C885" s="417" t="s">
        <v>12</v>
      </c>
    </row>
    <row r="886" spans="1:3" ht="12.75">
      <c r="A886" s="417" t="s">
        <v>2006</v>
      </c>
      <c r="B886" s="417" t="s">
        <v>2005</v>
      </c>
      <c r="C886" s="417" t="s">
        <v>12</v>
      </c>
    </row>
    <row r="887" spans="1:3" ht="12.75">
      <c r="A887" s="417" t="s">
        <v>2008</v>
      </c>
      <c r="B887" s="417" t="s">
        <v>2007</v>
      </c>
      <c r="C887" s="417" t="s">
        <v>12</v>
      </c>
    </row>
    <row r="888" spans="1:3" ht="12.75">
      <c r="A888" s="417" t="s">
        <v>2010</v>
      </c>
      <c r="B888" s="417" t="s">
        <v>2009</v>
      </c>
      <c r="C888" s="417" t="s">
        <v>12</v>
      </c>
    </row>
    <row r="889" spans="1:3" ht="12.75">
      <c r="A889" s="417" t="s">
        <v>2012</v>
      </c>
      <c r="B889" s="417" t="s">
        <v>2011</v>
      </c>
      <c r="C889" s="417" t="s">
        <v>12</v>
      </c>
    </row>
    <row r="890" spans="1:3" ht="12.75">
      <c r="A890" s="417" t="s">
        <v>2014</v>
      </c>
      <c r="B890" s="417" t="s">
        <v>2013</v>
      </c>
      <c r="C890" s="417" t="s">
        <v>12</v>
      </c>
    </row>
    <row r="891" spans="1:3" ht="12.75">
      <c r="A891" s="417" t="s">
        <v>2016</v>
      </c>
      <c r="B891" s="417" t="s">
        <v>2015</v>
      </c>
      <c r="C891" s="417" t="s">
        <v>12</v>
      </c>
    </row>
    <row r="892" spans="1:3" ht="12.75">
      <c r="A892" s="417" t="s">
        <v>2018</v>
      </c>
      <c r="B892" s="417" t="s">
        <v>2017</v>
      </c>
      <c r="C892" s="417" t="s">
        <v>12</v>
      </c>
    </row>
    <row r="893" spans="1:3" ht="12.75">
      <c r="A893" s="417" t="s">
        <v>2020</v>
      </c>
      <c r="B893" s="417" t="s">
        <v>2019</v>
      </c>
      <c r="C893" s="417" t="s">
        <v>12</v>
      </c>
    </row>
    <row r="894" spans="1:3" ht="12.75">
      <c r="A894" s="417" t="s">
        <v>2022</v>
      </c>
      <c r="B894" s="417" t="s">
        <v>2021</v>
      </c>
      <c r="C894" s="417" t="s">
        <v>12</v>
      </c>
    </row>
    <row r="895" spans="1:3" ht="12.75">
      <c r="A895" s="417" t="s">
        <v>2024</v>
      </c>
      <c r="B895" s="417" t="s">
        <v>2023</v>
      </c>
      <c r="C895" s="417" t="s">
        <v>12</v>
      </c>
    </row>
    <row r="896" spans="1:3" ht="12.75">
      <c r="A896" s="417" t="s">
        <v>2026</v>
      </c>
      <c r="B896" s="417" t="s">
        <v>2025</v>
      </c>
      <c r="C896" s="417" t="s">
        <v>12</v>
      </c>
    </row>
    <row r="897" spans="1:3" ht="12.75">
      <c r="A897" s="417" t="s">
        <v>2028</v>
      </c>
      <c r="B897" s="417" t="s">
        <v>2027</v>
      </c>
      <c r="C897" s="417" t="s">
        <v>12</v>
      </c>
    </row>
    <row r="898" spans="1:3" ht="12.75">
      <c r="A898" s="417" t="s">
        <v>2030</v>
      </c>
      <c r="B898" s="417" t="s">
        <v>2029</v>
      </c>
      <c r="C898" s="417" t="s">
        <v>12</v>
      </c>
    </row>
    <row r="899" spans="1:3" ht="12.75">
      <c r="A899" s="417" t="s">
        <v>2032</v>
      </c>
      <c r="B899" s="417" t="s">
        <v>2031</v>
      </c>
      <c r="C899" s="417" t="s">
        <v>12</v>
      </c>
    </row>
    <row r="900" spans="1:3" ht="12.75">
      <c r="A900" s="417" t="s">
        <v>2034</v>
      </c>
      <c r="B900" s="417" t="s">
        <v>2033</v>
      </c>
      <c r="C900" s="417" t="s">
        <v>12</v>
      </c>
    </row>
    <row r="901" spans="1:3" ht="12.75">
      <c r="A901" s="417" t="s">
        <v>2036</v>
      </c>
      <c r="B901" s="417" t="s">
        <v>2035</v>
      </c>
      <c r="C901" s="417" t="s">
        <v>12</v>
      </c>
    </row>
    <row r="902" spans="1:3" ht="12.75">
      <c r="A902" s="417" t="s">
        <v>2038</v>
      </c>
      <c r="B902" s="417" t="s">
        <v>2037</v>
      </c>
      <c r="C902" s="417" t="s">
        <v>12</v>
      </c>
    </row>
    <row r="903" spans="1:3" ht="12.75">
      <c r="A903" s="417" t="s">
        <v>2040</v>
      </c>
      <c r="B903" s="417" t="s">
        <v>2039</v>
      </c>
      <c r="C903" s="417" t="s">
        <v>12</v>
      </c>
    </row>
    <row r="904" spans="1:3" ht="12.75">
      <c r="A904" s="417" t="s">
        <v>2042</v>
      </c>
      <c r="B904" s="417" t="s">
        <v>2041</v>
      </c>
      <c r="C904" s="417" t="s">
        <v>12</v>
      </c>
    </row>
    <row r="905" spans="1:3" ht="12.75">
      <c r="A905" s="417" t="s">
        <v>2044</v>
      </c>
      <c r="B905" s="417" t="s">
        <v>2043</v>
      </c>
      <c r="C905" s="417" t="s">
        <v>12</v>
      </c>
    </row>
    <row r="906" spans="1:3" ht="12.75">
      <c r="A906" s="417" t="s">
        <v>2046</v>
      </c>
      <c r="B906" s="417" t="s">
        <v>2045</v>
      </c>
      <c r="C906" s="417" t="s">
        <v>12</v>
      </c>
    </row>
    <row r="907" spans="1:3" ht="12.75">
      <c r="A907" s="417" t="s">
        <v>2048</v>
      </c>
      <c r="B907" s="417" t="s">
        <v>2047</v>
      </c>
      <c r="C907" s="417" t="s">
        <v>12</v>
      </c>
    </row>
    <row r="908" spans="1:3" ht="12.75">
      <c r="A908" s="417" t="s">
        <v>2050</v>
      </c>
      <c r="B908" s="417" t="s">
        <v>2049</v>
      </c>
      <c r="C908" s="417" t="s">
        <v>12</v>
      </c>
    </row>
    <row r="909" spans="1:3" ht="12.75">
      <c r="A909" s="417" t="s">
        <v>2052</v>
      </c>
      <c r="B909" s="417" t="s">
        <v>2051</v>
      </c>
      <c r="C909" s="417" t="s">
        <v>12</v>
      </c>
    </row>
    <row r="910" spans="1:3" ht="12.75">
      <c r="A910" s="417" t="s">
        <v>2054</v>
      </c>
      <c r="B910" s="417" t="s">
        <v>2053</v>
      </c>
      <c r="C910" s="417" t="s">
        <v>12</v>
      </c>
    </row>
    <row r="911" spans="1:3" ht="12.75">
      <c r="A911" s="417" t="s">
        <v>2056</v>
      </c>
      <c r="B911" s="417" t="s">
        <v>2055</v>
      </c>
      <c r="C911" s="417" t="s">
        <v>12</v>
      </c>
    </row>
    <row r="912" spans="1:3" ht="12.75">
      <c r="A912" s="417" t="s">
        <v>2058</v>
      </c>
      <c r="B912" s="417" t="s">
        <v>2057</v>
      </c>
      <c r="C912" s="417" t="s">
        <v>12</v>
      </c>
    </row>
    <row r="913" spans="1:3" ht="12.75">
      <c r="A913" s="417" t="s">
        <v>2060</v>
      </c>
      <c r="B913" s="417" t="s">
        <v>2059</v>
      </c>
      <c r="C913" s="417" t="s">
        <v>12</v>
      </c>
    </row>
    <row r="914" spans="1:3" ht="12.75">
      <c r="A914" s="417" t="s">
        <v>2062</v>
      </c>
      <c r="B914" s="417" t="s">
        <v>2061</v>
      </c>
      <c r="C914" s="417" t="s">
        <v>12</v>
      </c>
    </row>
    <row r="915" spans="1:3" ht="12.75">
      <c r="A915" s="417" t="s">
        <v>2064</v>
      </c>
      <c r="B915" s="417" t="s">
        <v>2063</v>
      </c>
      <c r="C915" s="417" t="s">
        <v>12</v>
      </c>
    </row>
    <row r="916" spans="1:3" ht="12.75">
      <c r="A916" s="417" t="s">
        <v>2066</v>
      </c>
      <c r="B916" s="417" t="s">
        <v>2065</v>
      </c>
      <c r="C916" s="417" t="s">
        <v>12</v>
      </c>
    </row>
    <row r="917" spans="1:3" ht="12.75">
      <c r="A917" s="417" t="s">
        <v>2068</v>
      </c>
      <c r="B917" s="417" t="s">
        <v>2067</v>
      </c>
      <c r="C917" s="417" t="s">
        <v>12</v>
      </c>
    </row>
    <row r="918" spans="1:3" ht="12.75">
      <c r="A918" s="417" t="s">
        <v>2070</v>
      </c>
      <c r="B918" s="417" t="s">
        <v>2069</v>
      </c>
      <c r="C918" s="417" t="s">
        <v>12</v>
      </c>
    </row>
    <row r="919" spans="1:3" ht="12.75">
      <c r="A919" s="417" t="s">
        <v>2072</v>
      </c>
      <c r="B919" s="417" t="s">
        <v>2071</v>
      </c>
      <c r="C919" s="417" t="s">
        <v>12</v>
      </c>
    </row>
    <row r="920" spans="1:3" ht="12.75">
      <c r="A920" s="417" t="s">
        <v>2074</v>
      </c>
      <c r="B920" s="417" t="s">
        <v>2073</v>
      </c>
      <c r="C920" s="417" t="s">
        <v>12</v>
      </c>
    </row>
    <row r="921" spans="1:3" ht="12.75">
      <c r="A921" s="417" t="s">
        <v>2076</v>
      </c>
      <c r="B921" s="417" t="s">
        <v>2075</v>
      </c>
      <c r="C921" s="417" t="s">
        <v>12</v>
      </c>
    </row>
    <row r="922" spans="1:3" ht="12.75">
      <c r="A922" s="417" t="s">
        <v>2078</v>
      </c>
      <c r="B922" s="417" t="s">
        <v>2077</v>
      </c>
      <c r="C922" s="417" t="s">
        <v>12</v>
      </c>
    </row>
    <row r="923" spans="1:3" ht="12.75">
      <c r="A923" s="417" t="s">
        <v>2080</v>
      </c>
      <c r="B923" s="417" t="s">
        <v>2079</v>
      </c>
      <c r="C923" s="417" t="s">
        <v>12</v>
      </c>
    </row>
    <row r="924" spans="1:3" ht="12.75">
      <c r="A924" s="417" t="s">
        <v>2082</v>
      </c>
      <c r="B924" s="417" t="s">
        <v>2081</v>
      </c>
      <c r="C924" s="417" t="s">
        <v>12</v>
      </c>
    </row>
    <row r="925" spans="1:3" ht="12.75">
      <c r="A925" s="417" t="s">
        <v>2084</v>
      </c>
      <c r="B925" s="417" t="s">
        <v>2083</v>
      </c>
      <c r="C925" s="417" t="s">
        <v>12</v>
      </c>
    </row>
    <row r="926" spans="1:3" ht="12.75">
      <c r="A926" s="417" t="s">
        <v>2086</v>
      </c>
      <c r="B926" s="417" t="s">
        <v>2085</v>
      </c>
      <c r="C926" s="417" t="s">
        <v>12</v>
      </c>
    </row>
    <row r="927" spans="1:3" ht="12.75">
      <c r="A927" s="417" t="s">
        <v>2088</v>
      </c>
      <c r="B927" s="417" t="s">
        <v>2087</v>
      </c>
      <c r="C927" s="417" t="s">
        <v>12</v>
      </c>
    </row>
    <row r="928" spans="1:3" ht="12.75">
      <c r="A928" s="417" t="s">
        <v>2090</v>
      </c>
      <c r="B928" s="417" t="s">
        <v>2089</v>
      </c>
      <c r="C928" s="417" t="s">
        <v>12</v>
      </c>
    </row>
    <row r="929" spans="1:3" ht="12.75">
      <c r="A929" s="417" t="s">
        <v>2092</v>
      </c>
      <c r="B929" s="417" t="s">
        <v>2091</v>
      </c>
      <c r="C929" s="417" t="s">
        <v>11</v>
      </c>
    </row>
    <row r="930" spans="1:3" ht="12.75">
      <c r="A930" s="417" t="s">
        <v>2094</v>
      </c>
      <c r="B930" s="417" t="s">
        <v>2093</v>
      </c>
      <c r="C930" s="417" t="s">
        <v>12</v>
      </c>
    </row>
    <row r="931" spans="1:3" ht="12.75">
      <c r="A931" s="417" t="s">
        <v>2096</v>
      </c>
      <c r="B931" s="417" t="s">
        <v>2095</v>
      </c>
      <c r="C931" s="417" t="s">
        <v>11</v>
      </c>
    </row>
    <row r="932" spans="1:3" ht="12.75">
      <c r="A932" s="417" t="s">
        <v>2098</v>
      </c>
      <c r="B932" s="417" t="s">
        <v>2097</v>
      </c>
      <c r="C932" s="417" t="s">
        <v>12</v>
      </c>
    </row>
    <row r="933" spans="1:3" ht="12.75">
      <c r="A933" s="417" t="s">
        <v>2100</v>
      </c>
      <c r="B933" s="417" t="s">
        <v>2099</v>
      </c>
      <c r="C933" s="417" t="s">
        <v>12</v>
      </c>
    </row>
    <row r="934" spans="1:3" ht="12.75">
      <c r="A934" s="417" t="s">
        <v>2102</v>
      </c>
      <c r="B934" s="417" t="s">
        <v>2101</v>
      </c>
      <c r="C934" s="417" t="s">
        <v>12</v>
      </c>
    </row>
    <row r="935" spans="1:3" ht="12.75">
      <c r="A935" s="417" t="s">
        <v>2104</v>
      </c>
      <c r="B935" s="417" t="s">
        <v>2103</v>
      </c>
      <c r="C935" s="417" t="s">
        <v>12</v>
      </c>
    </row>
    <row r="936" spans="1:3" ht="12.75">
      <c r="A936" s="417" t="s">
        <v>2106</v>
      </c>
      <c r="B936" s="417" t="s">
        <v>2105</v>
      </c>
      <c r="C936" s="417" t="s">
        <v>12</v>
      </c>
    </row>
    <row r="937" spans="1:3" ht="12.75">
      <c r="A937" s="417" t="s">
        <v>2108</v>
      </c>
      <c r="B937" s="417" t="s">
        <v>2107</v>
      </c>
      <c r="C937" s="417" t="s">
        <v>12</v>
      </c>
    </row>
    <row r="938" spans="1:3" ht="12.75">
      <c r="A938" s="417" t="s">
        <v>2110</v>
      </c>
      <c r="B938" s="417" t="s">
        <v>2109</v>
      </c>
      <c r="C938" s="417" t="s">
        <v>12</v>
      </c>
    </row>
    <row r="939" spans="1:3" ht="12.75">
      <c r="A939" s="417" t="s">
        <v>2112</v>
      </c>
      <c r="B939" s="417" t="s">
        <v>2111</v>
      </c>
      <c r="C939" s="417" t="s">
        <v>12</v>
      </c>
    </row>
    <row r="940" spans="1:3" ht="12.75">
      <c r="A940" s="417" t="s">
        <v>2114</v>
      </c>
      <c r="B940" s="417" t="s">
        <v>2113</v>
      </c>
      <c r="C940" s="417" t="s">
        <v>12</v>
      </c>
    </row>
    <row r="941" spans="1:3" ht="12.75">
      <c r="A941" s="417" t="s">
        <v>2116</v>
      </c>
      <c r="B941" s="417" t="s">
        <v>2115</v>
      </c>
      <c r="C941" s="417" t="s">
        <v>12</v>
      </c>
    </row>
    <row r="942" spans="1:3" ht="12.75">
      <c r="A942" s="417" t="s">
        <v>2118</v>
      </c>
      <c r="B942" s="417" t="s">
        <v>2117</v>
      </c>
      <c r="C942" s="417" t="s">
        <v>12</v>
      </c>
    </row>
    <row r="943" spans="1:3" ht="12.75">
      <c r="A943" s="417" t="s">
        <v>2120</v>
      </c>
      <c r="B943" s="417" t="s">
        <v>2119</v>
      </c>
      <c r="C943" s="417" t="s">
        <v>12</v>
      </c>
    </row>
    <row r="944" spans="1:3" ht="12.75">
      <c r="A944" s="417" t="s">
        <v>2122</v>
      </c>
      <c r="B944" s="417" t="s">
        <v>2121</v>
      </c>
      <c r="C944" s="417" t="s">
        <v>12</v>
      </c>
    </row>
    <row r="945" spans="1:3" ht="12.75">
      <c r="A945" s="417" t="s">
        <v>2124</v>
      </c>
      <c r="B945" s="417" t="s">
        <v>2123</v>
      </c>
      <c r="C945" s="417" t="s">
        <v>12</v>
      </c>
    </row>
    <row r="946" spans="1:3" ht="12.75">
      <c r="A946" s="417" t="s">
        <v>2126</v>
      </c>
      <c r="B946" s="417" t="s">
        <v>2125</v>
      </c>
      <c r="C946" s="417" t="s">
        <v>12</v>
      </c>
    </row>
    <row r="947" spans="1:3" ht="12.75">
      <c r="A947" s="417" t="s">
        <v>2128</v>
      </c>
      <c r="B947" s="417" t="s">
        <v>2127</v>
      </c>
      <c r="C947" s="417" t="s">
        <v>12</v>
      </c>
    </row>
    <row r="948" spans="1:3" ht="12.75">
      <c r="A948" s="417" t="s">
        <v>2130</v>
      </c>
      <c r="B948" s="417" t="s">
        <v>2129</v>
      </c>
      <c r="C948" s="417" t="s">
        <v>13</v>
      </c>
    </row>
    <row r="949" spans="1:3" ht="12.75">
      <c r="A949" s="417" t="s">
        <v>2132</v>
      </c>
      <c r="B949" s="417" t="s">
        <v>2131</v>
      </c>
      <c r="C949" s="417" t="s">
        <v>12</v>
      </c>
    </row>
    <row r="950" spans="1:3" ht="12.75">
      <c r="A950" s="417" t="s">
        <v>314</v>
      </c>
      <c r="B950" s="417" t="s">
        <v>2133</v>
      </c>
      <c r="C950" s="417" t="s">
        <v>44</v>
      </c>
    </row>
    <row r="951" spans="1:3" ht="12.75">
      <c r="A951" s="417" t="s">
        <v>314</v>
      </c>
      <c r="B951" s="417" t="s">
        <v>2134</v>
      </c>
      <c r="C951" s="417" t="s">
        <v>2135</v>
      </c>
    </row>
    <row r="952" spans="1:3" ht="12.75">
      <c r="A952" s="417" t="s">
        <v>315</v>
      </c>
      <c r="B952" s="417" t="s">
        <v>2136</v>
      </c>
      <c r="C952" s="417" t="s">
        <v>409</v>
      </c>
    </row>
    <row r="953" spans="1:3" ht="12.75">
      <c r="A953" s="417" t="s">
        <v>315</v>
      </c>
      <c r="B953" s="417" t="s">
        <v>2137</v>
      </c>
      <c r="C953" s="417" t="s">
        <v>10</v>
      </c>
    </row>
    <row r="954" spans="1:3" ht="12.75">
      <c r="A954" s="417" t="s">
        <v>2139</v>
      </c>
      <c r="B954" s="417" t="s">
        <v>2138</v>
      </c>
      <c r="C954" s="417" t="s">
        <v>409</v>
      </c>
    </row>
    <row r="955" spans="1:3" ht="12.75">
      <c r="A955" s="417" t="s">
        <v>316</v>
      </c>
      <c r="B955" s="417" t="s">
        <v>2140</v>
      </c>
      <c r="C955" s="417" t="s">
        <v>44</v>
      </c>
    </row>
    <row r="956" spans="1:3" ht="12.75">
      <c r="A956" s="417" t="s">
        <v>2142</v>
      </c>
      <c r="B956" s="417" t="s">
        <v>2141</v>
      </c>
      <c r="C956" s="417" t="s">
        <v>2135</v>
      </c>
    </row>
    <row r="957" spans="1:3" ht="12.75">
      <c r="A957" s="417" t="s">
        <v>317</v>
      </c>
      <c r="B957" s="417" t="s">
        <v>2143</v>
      </c>
      <c r="C957" s="417" t="s">
        <v>44</v>
      </c>
    </row>
    <row r="958" spans="1:3" ht="12.75">
      <c r="A958" s="417" t="s">
        <v>317</v>
      </c>
      <c r="B958" s="417" t="s">
        <v>2144</v>
      </c>
      <c r="C958" s="417" t="s">
        <v>2135</v>
      </c>
    </row>
    <row r="959" spans="1:3" ht="12.75">
      <c r="A959" s="417" t="s">
        <v>2146</v>
      </c>
      <c r="B959" s="417" t="s">
        <v>2145</v>
      </c>
      <c r="C959" s="417" t="s">
        <v>2135</v>
      </c>
    </row>
    <row r="960" spans="1:3" ht="12.75">
      <c r="A960" s="417" t="s">
        <v>2148</v>
      </c>
      <c r="B960" s="417" t="s">
        <v>2147</v>
      </c>
      <c r="C960" s="417" t="s">
        <v>113</v>
      </c>
    </row>
    <row r="961" spans="1:3" ht="12.75">
      <c r="A961" s="417" t="s">
        <v>2150</v>
      </c>
      <c r="B961" s="417" t="s">
        <v>2149</v>
      </c>
      <c r="C961" s="417" t="s">
        <v>12</v>
      </c>
    </row>
    <row r="962" spans="1:3" ht="12.75">
      <c r="A962" s="417" t="s">
        <v>2152</v>
      </c>
      <c r="B962" s="417" t="s">
        <v>2151</v>
      </c>
      <c r="C962" s="417" t="s">
        <v>12</v>
      </c>
    </row>
    <row r="963" spans="1:3" ht="12.75">
      <c r="A963" s="417" t="s">
        <v>2154</v>
      </c>
      <c r="B963" s="417" t="s">
        <v>2153</v>
      </c>
      <c r="C963" s="417" t="s">
        <v>12</v>
      </c>
    </row>
    <row r="964" spans="1:3" ht="12.75">
      <c r="A964" s="417" t="s">
        <v>2156</v>
      </c>
      <c r="B964" s="417" t="s">
        <v>2155</v>
      </c>
      <c r="C964" s="417" t="s">
        <v>12</v>
      </c>
    </row>
    <row r="965" spans="1:3" ht="12.75">
      <c r="A965" s="417" t="s">
        <v>2158</v>
      </c>
      <c r="B965" s="417" t="s">
        <v>2157</v>
      </c>
      <c r="C965" s="417" t="s">
        <v>12</v>
      </c>
    </row>
    <row r="966" spans="1:3" ht="12.75">
      <c r="A966" s="417" t="s">
        <v>2160</v>
      </c>
      <c r="B966" s="417" t="s">
        <v>2159</v>
      </c>
      <c r="C966" s="417" t="s">
        <v>12</v>
      </c>
    </row>
    <row r="967" spans="1:3" ht="12.75">
      <c r="A967" s="417" t="s">
        <v>2162</v>
      </c>
      <c r="B967" s="417" t="s">
        <v>2161</v>
      </c>
      <c r="C967" s="417" t="s">
        <v>12</v>
      </c>
    </row>
    <row r="968" spans="1:3" ht="12.75">
      <c r="A968" s="417" t="s">
        <v>2164</v>
      </c>
      <c r="B968" s="417" t="s">
        <v>2163</v>
      </c>
      <c r="C968" s="417" t="s">
        <v>12</v>
      </c>
    </row>
    <row r="969" spans="1:3" ht="12.75">
      <c r="A969" s="417" t="s">
        <v>2166</v>
      </c>
      <c r="B969" s="417" t="s">
        <v>2165</v>
      </c>
      <c r="C969" s="417" t="s">
        <v>12</v>
      </c>
    </row>
    <row r="970" spans="1:3" ht="12.75">
      <c r="A970" s="417" t="s">
        <v>2168</v>
      </c>
      <c r="B970" s="417" t="s">
        <v>2167</v>
      </c>
      <c r="C970" s="417" t="s">
        <v>12</v>
      </c>
    </row>
    <row r="971" spans="1:3" ht="12.75">
      <c r="A971" s="417" t="s">
        <v>2170</v>
      </c>
      <c r="B971" s="417" t="s">
        <v>2169</v>
      </c>
      <c r="C971" s="417" t="s">
        <v>12</v>
      </c>
    </row>
    <row r="972" spans="1:3" ht="12.75">
      <c r="A972" s="417" t="s">
        <v>2172</v>
      </c>
      <c r="B972" s="417" t="s">
        <v>2171</v>
      </c>
      <c r="C972" s="417" t="s">
        <v>12</v>
      </c>
    </row>
    <row r="973" spans="1:3" ht="12.75">
      <c r="A973" s="417" t="s">
        <v>2174</v>
      </c>
      <c r="B973" s="417" t="s">
        <v>2173</v>
      </c>
      <c r="C973" s="417" t="s">
        <v>12</v>
      </c>
    </row>
    <row r="974" spans="1:3" ht="12.75">
      <c r="A974" s="417" t="s">
        <v>332</v>
      </c>
      <c r="B974" s="417" t="s">
        <v>2175</v>
      </c>
      <c r="C974" s="417" t="s">
        <v>409</v>
      </c>
    </row>
    <row r="975" spans="1:3" ht="12.75">
      <c r="A975" s="417" t="s">
        <v>166</v>
      </c>
      <c r="B975" s="417" t="s">
        <v>2176</v>
      </c>
      <c r="C975" s="417" t="s">
        <v>409</v>
      </c>
    </row>
    <row r="976" spans="1:3" ht="12.75">
      <c r="A976" s="417" t="s">
        <v>2178</v>
      </c>
      <c r="B976" s="417" t="s">
        <v>2177</v>
      </c>
      <c r="C976" s="417" t="s">
        <v>409</v>
      </c>
    </row>
    <row r="977" spans="1:3" ht="12.75">
      <c r="A977" s="417" t="s">
        <v>2180</v>
      </c>
      <c r="B977" s="417" t="s">
        <v>2179</v>
      </c>
      <c r="C977" s="417" t="s">
        <v>409</v>
      </c>
    </row>
    <row r="978" spans="1:3" ht="12.75">
      <c r="A978" s="417" t="s">
        <v>2182</v>
      </c>
      <c r="B978" s="417" t="s">
        <v>2181</v>
      </c>
      <c r="C978" s="417" t="s">
        <v>409</v>
      </c>
    </row>
    <row r="979" spans="1:3" ht="12.75">
      <c r="A979" s="417" t="s">
        <v>2184</v>
      </c>
      <c r="B979" s="417" t="s">
        <v>2183</v>
      </c>
      <c r="C979" s="417" t="s">
        <v>409</v>
      </c>
    </row>
    <row r="980" spans="1:3" ht="12.75">
      <c r="A980" s="417" t="s">
        <v>2186</v>
      </c>
      <c r="B980" s="417" t="s">
        <v>2185</v>
      </c>
      <c r="C980" s="417" t="s">
        <v>409</v>
      </c>
    </row>
    <row r="981" spans="1:3" ht="12.75">
      <c r="A981" s="417" t="s">
        <v>2188</v>
      </c>
      <c r="B981" s="417" t="s">
        <v>2187</v>
      </c>
      <c r="C981" s="417" t="s">
        <v>409</v>
      </c>
    </row>
    <row r="982" spans="1:3" ht="12.75">
      <c r="A982" s="417" t="s">
        <v>2190</v>
      </c>
      <c r="B982" s="417" t="s">
        <v>2189</v>
      </c>
      <c r="C982" s="417" t="s">
        <v>409</v>
      </c>
    </row>
    <row r="983" spans="1:3" ht="12.75">
      <c r="A983" s="417" t="s">
        <v>2192</v>
      </c>
      <c r="B983" s="417" t="s">
        <v>2191</v>
      </c>
      <c r="C983" s="417" t="s">
        <v>409</v>
      </c>
    </row>
    <row r="984" spans="1:3" ht="12.75">
      <c r="A984" s="417" t="s">
        <v>2194</v>
      </c>
      <c r="B984" s="417" t="s">
        <v>2193</v>
      </c>
      <c r="C984" s="417" t="s">
        <v>409</v>
      </c>
    </row>
    <row r="985" spans="1:3" ht="12.75">
      <c r="A985" s="417" t="s">
        <v>2196</v>
      </c>
      <c r="B985" s="417" t="s">
        <v>2195</v>
      </c>
      <c r="C985" s="417" t="s">
        <v>13</v>
      </c>
    </row>
    <row r="986" spans="1:3" ht="12.75">
      <c r="A986" s="417" t="s">
        <v>2198</v>
      </c>
      <c r="B986" s="417" t="s">
        <v>2197</v>
      </c>
      <c r="C986" s="417" t="s">
        <v>1226</v>
      </c>
    </row>
    <row r="987" spans="1:3" ht="12.75">
      <c r="A987" s="417" t="s">
        <v>2200</v>
      </c>
      <c r="B987" s="417" t="s">
        <v>2199</v>
      </c>
      <c r="C987" s="417" t="s">
        <v>1226</v>
      </c>
    </row>
    <row r="988" spans="1:3" ht="12.75">
      <c r="A988" s="417" t="s">
        <v>2202</v>
      </c>
      <c r="B988" s="417" t="s">
        <v>2201</v>
      </c>
      <c r="C988" s="417" t="s">
        <v>1226</v>
      </c>
    </row>
    <row r="989" spans="1:3" ht="12.75">
      <c r="A989" s="417" t="s">
        <v>2204</v>
      </c>
      <c r="B989" s="417" t="s">
        <v>2203</v>
      </c>
      <c r="C989" s="417" t="s">
        <v>1226</v>
      </c>
    </row>
    <row r="990" spans="1:3" ht="12.75">
      <c r="A990" s="417" t="s">
        <v>2206</v>
      </c>
      <c r="B990" s="417" t="s">
        <v>2205</v>
      </c>
      <c r="C990" s="417" t="s">
        <v>1226</v>
      </c>
    </row>
    <row r="991" spans="1:3" ht="12.75">
      <c r="A991" s="417" t="s">
        <v>2208</v>
      </c>
      <c r="B991" s="417" t="s">
        <v>2207</v>
      </c>
      <c r="C991" s="417" t="s">
        <v>1226</v>
      </c>
    </row>
    <row r="992" spans="1:3" ht="12.75">
      <c r="A992" s="417" t="s">
        <v>2210</v>
      </c>
      <c r="B992" s="417" t="s">
        <v>2209</v>
      </c>
      <c r="C992" s="417" t="s">
        <v>385</v>
      </c>
    </row>
    <row r="993" spans="1:3" ht="12.75">
      <c r="A993" s="417" t="s">
        <v>2210</v>
      </c>
      <c r="B993" s="417" t="s">
        <v>2211</v>
      </c>
      <c r="C993" s="417" t="s">
        <v>13</v>
      </c>
    </row>
    <row r="994" spans="1:3" ht="12.75">
      <c r="A994" s="417" t="s">
        <v>2213</v>
      </c>
      <c r="B994" s="417" t="s">
        <v>2212</v>
      </c>
      <c r="C994" s="417" t="s">
        <v>385</v>
      </c>
    </row>
    <row r="995" spans="1:3" ht="12.75">
      <c r="A995" s="417" t="s">
        <v>2215</v>
      </c>
      <c r="B995" s="417" t="s">
        <v>2214</v>
      </c>
      <c r="C995" s="417" t="s">
        <v>409</v>
      </c>
    </row>
    <row r="996" spans="1:3" ht="12.75">
      <c r="A996" s="417" t="s">
        <v>2217</v>
      </c>
      <c r="B996" s="417" t="s">
        <v>2216</v>
      </c>
      <c r="C996" s="417" t="s">
        <v>113</v>
      </c>
    </row>
    <row r="997" spans="1:3" ht="12.75">
      <c r="A997" s="417" t="s">
        <v>2219</v>
      </c>
      <c r="B997" s="417" t="s">
        <v>2218</v>
      </c>
      <c r="C997" s="417" t="s">
        <v>13</v>
      </c>
    </row>
    <row r="998" spans="1:3" ht="12.75">
      <c r="A998" s="417" t="s">
        <v>2221</v>
      </c>
      <c r="B998" s="417" t="s">
        <v>2220</v>
      </c>
      <c r="C998" s="417" t="s">
        <v>113</v>
      </c>
    </row>
    <row r="999" spans="1:3" ht="12.75">
      <c r="A999" s="417" t="s">
        <v>2223</v>
      </c>
      <c r="B999" s="417" t="s">
        <v>2222</v>
      </c>
      <c r="C999" s="417" t="s">
        <v>113</v>
      </c>
    </row>
    <row r="1000" spans="1:3" ht="12.75">
      <c r="A1000" s="417" t="s">
        <v>2225</v>
      </c>
      <c r="B1000" s="417" t="s">
        <v>2224</v>
      </c>
      <c r="C1000" s="417" t="s">
        <v>113</v>
      </c>
    </row>
    <row r="1001" spans="1:3" ht="12.75">
      <c r="A1001" s="417" t="s">
        <v>2227</v>
      </c>
      <c r="B1001" s="417" t="s">
        <v>2226</v>
      </c>
      <c r="C1001" s="417" t="s">
        <v>113</v>
      </c>
    </row>
    <row r="1002" spans="1:3" ht="12.75">
      <c r="A1002" s="417" t="s">
        <v>2229</v>
      </c>
      <c r="B1002" s="417" t="s">
        <v>2228</v>
      </c>
      <c r="C1002" s="417" t="s">
        <v>113</v>
      </c>
    </row>
    <row r="1003" spans="1:3" ht="12.75">
      <c r="A1003" s="417" t="s">
        <v>2231</v>
      </c>
      <c r="B1003" s="417" t="s">
        <v>2230</v>
      </c>
      <c r="C1003" s="417" t="s">
        <v>113</v>
      </c>
    </row>
    <row r="1004" spans="1:3" ht="12.75">
      <c r="A1004" s="417" t="s">
        <v>2233</v>
      </c>
      <c r="B1004" s="417" t="s">
        <v>2232</v>
      </c>
      <c r="C1004" s="417" t="s">
        <v>12</v>
      </c>
    </row>
    <row r="1005" spans="1:3" ht="12.75">
      <c r="A1005" s="417" t="s">
        <v>2235</v>
      </c>
      <c r="B1005" s="417" t="s">
        <v>2234</v>
      </c>
      <c r="C1005" s="417" t="s">
        <v>12</v>
      </c>
    </row>
    <row r="1006" spans="1:3" ht="12.75">
      <c r="A1006" s="417" t="s">
        <v>2235</v>
      </c>
      <c r="B1006" s="417" t="s">
        <v>2236</v>
      </c>
      <c r="C1006" s="417" t="s">
        <v>12</v>
      </c>
    </row>
    <row r="1007" spans="1:3" ht="12.75">
      <c r="A1007" s="417" t="s">
        <v>2238</v>
      </c>
      <c r="B1007" s="417" t="s">
        <v>2237</v>
      </c>
      <c r="C1007" s="417" t="s">
        <v>12</v>
      </c>
    </row>
    <row r="1008" spans="1:3" ht="12.75">
      <c r="A1008" s="417" t="s">
        <v>2240</v>
      </c>
      <c r="B1008" s="417" t="s">
        <v>2239</v>
      </c>
      <c r="C1008" s="417" t="s">
        <v>385</v>
      </c>
    </row>
    <row r="1009" spans="1:3" ht="12.75">
      <c r="A1009" s="417" t="s">
        <v>2242</v>
      </c>
      <c r="B1009" s="417" t="s">
        <v>2241</v>
      </c>
      <c r="C1009" s="417" t="s">
        <v>385</v>
      </c>
    </row>
    <row r="1010" spans="1:3" ht="12.75">
      <c r="A1010" s="417" t="s">
        <v>2244</v>
      </c>
      <c r="B1010" s="417" t="s">
        <v>2243</v>
      </c>
      <c r="C1010" s="417" t="s">
        <v>12</v>
      </c>
    </row>
    <row r="1011" spans="1:3" ht="12.75">
      <c r="A1011" s="417" t="s">
        <v>2246</v>
      </c>
      <c r="B1011" s="417" t="s">
        <v>2245</v>
      </c>
      <c r="C1011" s="417" t="s">
        <v>11</v>
      </c>
    </row>
    <row r="1012" spans="1:3" ht="12.75">
      <c r="A1012" s="417" t="s">
        <v>2248</v>
      </c>
      <c r="B1012" s="417" t="s">
        <v>2247</v>
      </c>
      <c r="C1012" s="417" t="s">
        <v>12</v>
      </c>
    </row>
    <row r="1013" spans="1:3" ht="12.75">
      <c r="A1013" s="417" t="s">
        <v>2250</v>
      </c>
      <c r="B1013" s="417" t="s">
        <v>2249</v>
      </c>
      <c r="C1013" s="417" t="s">
        <v>12</v>
      </c>
    </row>
    <row r="1014" spans="1:3" ht="12.75">
      <c r="A1014" s="417" t="s">
        <v>2252</v>
      </c>
      <c r="B1014" s="417" t="s">
        <v>2251</v>
      </c>
      <c r="C1014" s="417" t="s">
        <v>12</v>
      </c>
    </row>
    <row r="1015" spans="1:3" ht="12.75">
      <c r="A1015" s="417" t="s">
        <v>2254</v>
      </c>
      <c r="B1015" s="417" t="s">
        <v>2253</v>
      </c>
      <c r="C1015" s="417" t="s">
        <v>12</v>
      </c>
    </row>
    <row r="1016" spans="1:3" ht="12.75">
      <c r="A1016" s="417" t="s">
        <v>2256</v>
      </c>
      <c r="B1016" s="417" t="s">
        <v>2255</v>
      </c>
      <c r="C1016" s="417" t="s">
        <v>12</v>
      </c>
    </row>
    <row r="1017" spans="1:3" ht="12.75">
      <c r="A1017" s="417" t="s">
        <v>2258</v>
      </c>
      <c r="B1017" s="417" t="s">
        <v>2257</v>
      </c>
      <c r="C1017" s="417" t="s">
        <v>12</v>
      </c>
    </row>
    <row r="1018" spans="1:3" ht="12.75">
      <c r="A1018" s="417" t="s">
        <v>2260</v>
      </c>
      <c r="B1018" s="417" t="s">
        <v>2259</v>
      </c>
      <c r="C1018" s="417" t="s">
        <v>12</v>
      </c>
    </row>
    <row r="1019" spans="1:3" ht="12.75">
      <c r="A1019" s="417" t="s">
        <v>2262</v>
      </c>
      <c r="B1019" s="417" t="s">
        <v>2261</v>
      </c>
      <c r="C1019" s="417" t="s">
        <v>11</v>
      </c>
    </row>
    <row r="1020" spans="1:3" ht="12.75">
      <c r="A1020" s="417" t="s">
        <v>2264</v>
      </c>
      <c r="B1020" s="417" t="s">
        <v>2263</v>
      </c>
      <c r="C1020" s="417" t="s">
        <v>11</v>
      </c>
    </row>
    <row r="1021" spans="1:3" ht="12.75">
      <c r="A1021" s="417" t="s">
        <v>2266</v>
      </c>
      <c r="B1021" s="417" t="s">
        <v>2265</v>
      </c>
      <c r="C1021" s="417" t="s">
        <v>11</v>
      </c>
    </row>
    <row r="1022" spans="1:3" ht="12.75">
      <c r="A1022" s="417" t="s">
        <v>2268</v>
      </c>
      <c r="B1022" s="417" t="s">
        <v>2267</v>
      </c>
      <c r="C1022" s="417" t="s">
        <v>113</v>
      </c>
    </row>
    <row r="1023" spans="1:3" ht="12.75">
      <c r="A1023" s="417" t="s">
        <v>2270</v>
      </c>
      <c r="B1023" s="417" t="s">
        <v>2269</v>
      </c>
      <c r="C1023" s="417" t="s">
        <v>11</v>
      </c>
    </row>
    <row r="1024" spans="1:3" ht="12.75">
      <c r="A1024" s="417" t="s">
        <v>2272</v>
      </c>
      <c r="B1024" s="417" t="s">
        <v>2271</v>
      </c>
      <c r="C1024" s="417" t="s">
        <v>12</v>
      </c>
    </row>
    <row r="1025" spans="1:3" ht="12.75">
      <c r="A1025" s="417" t="s">
        <v>2274</v>
      </c>
      <c r="B1025" s="417" t="s">
        <v>2273</v>
      </c>
      <c r="C1025" s="417" t="s">
        <v>113</v>
      </c>
    </row>
    <row r="1026" spans="1:3" ht="12.75">
      <c r="A1026" s="417" t="s">
        <v>2276</v>
      </c>
      <c r="B1026" s="417" t="s">
        <v>2275</v>
      </c>
      <c r="C1026" s="417" t="s">
        <v>13</v>
      </c>
    </row>
    <row r="1027" spans="1:3" ht="12.75">
      <c r="A1027" s="417" t="s">
        <v>2278</v>
      </c>
      <c r="B1027" s="417" t="s">
        <v>2277</v>
      </c>
      <c r="C1027" s="417" t="s">
        <v>1226</v>
      </c>
    </row>
    <row r="1028" spans="1:3" ht="12.75">
      <c r="A1028" s="417" t="s">
        <v>2280</v>
      </c>
      <c r="B1028" s="417" t="s">
        <v>2279</v>
      </c>
      <c r="C1028" s="417" t="s">
        <v>13</v>
      </c>
    </row>
    <row r="1029" spans="1:3" ht="12.75">
      <c r="A1029" s="417" t="s">
        <v>2282</v>
      </c>
      <c r="B1029" s="417" t="s">
        <v>2281</v>
      </c>
      <c r="C1029" s="417" t="s">
        <v>11</v>
      </c>
    </row>
    <row r="1030" spans="1:3" ht="12.75">
      <c r="A1030" s="417" t="s">
        <v>2284</v>
      </c>
      <c r="B1030" s="417" t="s">
        <v>2283</v>
      </c>
      <c r="C1030" s="417" t="s">
        <v>11</v>
      </c>
    </row>
    <row r="1031" spans="1:3" ht="12.75">
      <c r="A1031" s="417" t="s">
        <v>2286</v>
      </c>
      <c r="B1031" s="417" t="s">
        <v>2285</v>
      </c>
      <c r="C1031" s="417" t="s">
        <v>11</v>
      </c>
    </row>
    <row r="1032" spans="1:3" ht="12.75">
      <c r="A1032" s="417" t="s">
        <v>2288</v>
      </c>
      <c r="B1032" s="417" t="s">
        <v>2287</v>
      </c>
      <c r="C1032" s="417" t="s">
        <v>11</v>
      </c>
    </row>
    <row r="1033" spans="1:3" ht="12.75">
      <c r="A1033" s="417" t="s">
        <v>2290</v>
      </c>
      <c r="B1033" s="417" t="s">
        <v>2289</v>
      </c>
      <c r="C1033" s="417" t="s">
        <v>113</v>
      </c>
    </row>
    <row r="1034" spans="1:3" ht="12.75">
      <c r="A1034" s="417" t="s">
        <v>2292</v>
      </c>
      <c r="B1034" s="417" t="s">
        <v>2291</v>
      </c>
      <c r="C1034" s="417" t="s">
        <v>13</v>
      </c>
    </row>
    <row r="1035" spans="1:3" ht="12.75">
      <c r="A1035" s="417" t="s">
        <v>2294</v>
      </c>
      <c r="B1035" s="417" t="s">
        <v>2293</v>
      </c>
      <c r="C1035" s="417" t="s">
        <v>11</v>
      </c>
    </row>
    <row r="1036" spans="1:3" ht="12.75">
      <c r="A1036" s="417" t="s">
        <v>2296</v>
      </c>
      <c r="B1036" s="417" t="s">
        <v>2295</v>
      </c>
      <c r="C1036" s="417" t="s">
        <v>11</v>
      </c>
    </row>
    <row r="1037" spans="1:3" ht="12.75">
      <c r="A1037" s="417" t="s">
        <v>2298</v>
      </c>
      <c r="B1037" s="417" t="s">
        <v>2297</v>
      </c>
      <c r="C1037" s="417" t="s">
        <v>13</v>
      </c>
    </row>
    <row r="1038" spans="1:3" ht="12.75">
      <c r="A1038" s="417" t="s">
        <v>2300</v>
      </c>
      <c r="B1038" s="417" t="s">
        <v>2299</v>
      </c>
      <c r="C1038" s="417" t="s">
        <v>13</v>
      </c>
    </row>
    <row r="1039" spans="1:3" ht="12.75">
      <c r="A1039" s="417" t="s">
        <v>2302</v>
      </c>
      <c r="B1039" s="417" t="s">
        <v>2301</v>
      </c>
      <c r="C1039" s="417" t="s">
        <v>13</v>
      </c>
    </row>
    <row r="1040" spans="1:3" ht="12.75">
      <c r="A1040" s="417" t="s">
        <v>2304</v>
      </c>
      <c r="B1040" s="417" t="s">
        <v>2303</v>
      </c>
      <c r="C1040" s="417" t="s">
        <v>12</v>
      </c>
    </row>
    <row r="1041" spans="1:3" ht="12.75">
      <c r="A1041" s="417" t="s">
        <v>2306</v>
      </c>
      <c r="B1041" s="417" t="s">
        <v>2305</v>
      </c>
      <c r="C1041" s="417" t="s">
        <v>12</v>
      </c>
    </row>
    <row r="1042" spans="1:3" ht="12.75">
      <c r="A1042" s="417" t="s">
        <v>2308</v>
      </c>
      <c r="B1042" s="417" t="s">
        <v>2307</v>
      </c>
      <c r="C1042" s="417" t="s">
        <v>13</v>
      </c>
    </row>
    <row r="1043" spans="1:3" ht="12.75">
      <c r="A1043" s="417" t="s">
        <v>2310</v>
      </c>
      <c r="B1043" s="417" t="s">
        <v>2309</v>
      </c>
      <c r="C1043" s="417" t="s">
        <v>11</v>
      </c>
    </row>
    <row r="1044" spans="1:3" ht="12.75">
      <c r="A1044" s="417" t="s">
        <v>2312</v>
      </c>
      <c r="B1044" s="417" t="s">
        <v>2311</v>
      </c>
      <c r="C1044" s="417" t="s">
        <v>11</v>
      </c>
    </row>
    <row r="1045" spans="1:3" ht="12.75">
      <c r="A1045" s="417" t="s">
        <v>2314</v>
      </c>
      <c r="B1045" s="417" t="s">
        <v>2313</v>
      </c>
      <c r="C1045" s="417" t="s">
        <v>11</v>
      </c>
    </row>
    <row r="1046" spans="1:3" ht="12.75">
      <c r="A1046" s="417" t="s">
        <v>2316</v>
      </c>
      <c r="B1046" s="417" t="s">
        <v>2315</v>
      </c>
      <c r="C1046" s="417" t="s">
        <v>11</v>
      </c>
    </row>
    <row r="1047" spans="1:3" ht="12.75">
      <c r="A1047" s="417" t="s">
        <v>2318</v>
      </c>
      <c r="B1047" s="417" t="s">
        <v>2317</v>
      </c>
      <c r="C1047" s="417" t="s">
        <v>11</v>
      </c>
    </row>
    <row r="1048" spans="1:3" ht="12.75">
      <c r="A1048" s="417" t="s">
        <v>173</v>
      </c>
      <c r="B1048" s="417" t="s">
        <v>2319</v>
      </c>
      <c r="C1048" s="417" t="s">
        <v>11</v>
      </c>
    </row>
    <row r="1049" spans="1:3" ht="12.75">
      <c r="A1049" s="417" t="s">
        <v>2321</v>
      </c>
      <c r="B1049" s="417" t="s">
        <v>2320</v>
      </c>
      <c r="C1049" s="417" t="s">
        <v>11</v>
      </c>
    </row>
    <row r="1050" spans="1:3" ht="12.75">
      <c r="A1050" s="417" t="s">
        <v>2323</v>
      </c>
      <c r="B1050" s="417" t="s">
        <v>2322</v>
      </c>
      <c r="C1050" s="417" t="s">
        <v>11</v>
      </c>
    </row>
    <row r="1051" spans="1:3" ht="12.75">
      <c r="A1051" s="417" t="s">
        <v>2325</v>
      </c>
      <c r="B1051" s="417" t="s">
        <v>2324</v>
      </c>
      <c r="C1051" s="417" t="s">
        <v>11</v>
      </c>
    </row>
    <row r="1052" spans="1:3" ht="12.75">
      <c r="A1052" s="417" t="s">
        <v>2327</v>
      </c>
      <c r="B1052" s="417" t="s">
        <v>2326</v>
      </c>
      <c r="C1052" s="417" t="s">
        <v>13</v>
      </c>
    </row>
    <row r="1053" spans="1:3" ht="12.75">
      <c r="A1053" s="417" t="s">
        <v>2329</v>
      </c>
      <c r="B1053" s="417" t="s">
        <v>2328</v>
      </c>
      <c r="C1053" s="417" t="s">
        <v>12</v>
      </c>
    </row>
    <row r="1054" spans="1:3" ht="12.75">
      <c r="A1054" s="417" t="s">
        <v>2331</v>
      </c>
      <c r="B1054" s="417" t="s">
        <v>2330</v>
      </c>
      <c r="C1054" s="417" t="s">
        <v>12</v>
      </c>
    </row>
    <row r="1055" spans="1:3" ht="12.75">
      <c r="A1055" s="417" t="s">
        <v>2333</v>
      </c>
      <c r="B1055" s="417" t="s">
        <v>2332</v>
      </c>
      <c r="C1055" s="417" t="s">
        <v>12</v>
      </c>
    </row>
    <row r="1056" spans="1:3" ht="12.75">
      <c r="A1056" s="417" t="s">
        <v>2335</v>
      </c>
      <c r="B1056" s="417" t="s">
        <v>2334</v>
      </c>
      <c r="C1056" s="417" t="s">
        <v>12</v>
      </c>
    </row>
    <row r="1057" spans="1:3" ht="12.75">
      <c r="A1057" s="417" t="s">
        <v>2337</v>
      </c>
      <c r="B1057" s="417" t="s">
        <v>2336</v>
      </c>
      <c r="C1057" s="417" t="s">
        <v>12</v>
      </c>
    </row>
    <row r="1058" spans="1:3" ht="12.75">
      <c r="A1058" s="417" t="s">
        <v>2339</v>
      </c>
      <c r="B1058" s="417" t="s">
        <v>2338</v>
      </c>
      <c r="C1058" s="417" t="s">
        <v>12</v>
      </c>
    </row>
    <row r="1059" spans="1:3" ht="12.75">
      <c r="A1059" s="417" t="s">
        <v>2341</v>
      </c>
      <c r="B1059" s="417" t="s">
        <v>2340</v>
      </c>
      <c r="C1059" s="417" t="s">
        <v>12</v>
      </c>
    </row>
    <row r="1060" spans="1:3" ht="12.75">
      <c r="A1060" s="417" t="s">
        <v>2343</v>
      </c>
      <c r="B1060" s="417" t="s">
        <v>2342</v>
      </c>
      <c r="C1060" s="417" t="s">
        <v>12</v>
      </c>
    </row>
    <row r="1061" spans="1:3" ht="12.75">
      <c r="A1061" s="417" t="s">
        <v>2345</v>
      </c>
      <c r="B1061" s="417" t="s">
        <v>2344</v>
      </c>
      <c r="C1061" s="417" t="s">
        <v>13</v>
      </c>
    </row>
    <row r="1062" spans="1:3" ht="12.75">
      <c r="A1062" s="417" t="s">
        <v>2347</v>
      </c>
      <c r="B1062" s="417" t="s">
        <v>2346</v>
      </c>
      <c r="C1062" s="417" t="s">
        <v>12</v>
      </c>
    </row>
    <row r="1063" spans="1:3" ht="12.75">
      <c r="A1063" s="417" t="s">
        <v>2349</v>
      </c>
      <c r="B1063" s="417" t="s">
        <v>2348</v>
      </c>
      <c r="C1063" s="417" t="s">
        <v>12</v>
      </c>
    </row>
    <row r="1064" spans="1:3" ht="12.75">
      <c r="A1064" s="417" t="s">
        <v>2351</v>
      </c>
      <c r="B1064" s="417" t="s">
        <v>2350</v>
      </c>
      <c r="C1064" s="417" t="s">
        <v>11</v>
      </c>
    </row>
    <row r="1065" spans="1:3" ht="12.75">
      <c r="A1065" s="417" t="s">
        <v>2353</v>
      </c>
      <c r="B1065" s="417" t="s">
        <v>2352</v>
      </c>
      <c r="C1065" s="417" t="s">
        <v>12</v>
      </c>
    </row>
    <row r="1066" spans="1:3" ht="12.75">
      <c r="A1066" s="417" t="s">
        <v>2355</v>
      </c>
      <c r="B1066" s="417" t="s">
        <v>2354</v>
      </c>
      <c r="C1066" s="417" t="s">
        <v>12</v>
      </c>
    </row>
    <row r="1067" spans="1:3" ht="12.75">
      <c r="A1067" s="417" t="s">
        <v>2357</v>
      </c>
      <c r="B1067" s="417" t="s">
        <v>2356</v>
      </c>
      <c r="C1067" s="417" t="s">
        <v>12</v>
      </c>
    </row>
    <row r="1068" spans="1:3" ht="12.75">
      <c r="A1068" s="417" t="s">
        <v>2359</v>
      </c>
      <c r="B1068" s="417" t="s">
        <v>2358</v>
      </c>
      <c r="C1068" s="417" t="s">
        <v>12</v>
      </c>
    </row>
    <row r="1069" spans="1:3" ht="12.75">
      <c r="A1069" s="417" t="s">
        <v>2361</v>
      </c>
      <c r="B1069" s="417" t="s">
        <v>2360</v>
      </c>
      <c r="C1069" s="417" t="s">
        <v>12</v>
      </c>
    </row>
    <row r="1070" spans="1:3" ht="12.75">
      <c r="A1070" s="417" t="s">
        <v>2363</v>
      </c>
      <c r="B1070" s="417" t="s">
        <v>2362</v>
      </c>
      <c r="C1070" s="417" t="s">
        <v>12</v>
      </c>
    </row>
    <row r="1071" spans="1:3" ht="12.75">
      <c r="A1071" s="417" t="s">
        <v>2365</v>
      </c>
      <c r="B1071" s="417" t="s">
        <v>2364</v>
      </c>
      <c r="C1071" s="417" t="s">
        <v>12</v>
      </c>
    </row>
    <row r="1072" spans="1:3" ht="12.75">
      <c r="A1072" s="417" t="s">
        <v>2367</v>
      </c>
      <c r="B1072" s="417" t="s">
        <v>2366</v>
      </c>
      <c r="C1072" s="417" t="s">
        <v>12</v>
      </c>
    </row>
    <row r="1073" spans="1:3" ht="12.75">
      <c r="A1073" s="417" t="s">
        <v>2369</v>
      </c>
      <c r="B1073" s="417" t="s">
        <v>2368</v>
      </c>
      <c r="C1073" s="417" t="s">
        <v>12</v>
      </c>
    </row>
    <row r="1074" spans="1:3" ht="12.75">
      <c r="A1074" s="417" t="s">
        <v>2371</v>
      </c>
      <c r="B1074" s="417" t="s">
        <v>2370</v>
      </c>
      <c r="C1074" s="417" t="s">
        <v>13</v>
      </c>
    </row>
    <row r="1075" spans="1:3" ht="12.75">
      <c r="A1075" s="417" t="s">
        <v>2373</v>
      </c>
      <c r="B1075" s="417" t="s">
        <v>2372</v>
      </c>
      <c r="C1075" s="417" t="s">
        <v>12</v>
      </c>
    </row>
    <row r="1076" spans="1:3" ht="12.75">
      <c r="A1076" s="417" t="s">
        <v>2375</v>
      </c>
      <c r="B1076" s="417" t="s">
        <v>2374</v>
      </c>
      <c r="C1076" s="417" t="s">
        <v>12</v>
      </c>
    </row>
    <row r="1077" spans="1:3" ht="12.75">
      <c r="A1077" s="417" t="s">
        <v>2377</v>
      </c>
      <c r="B1077" s="417" t="s">
        <v>2376</v>
      </c>
      <c r="C1077" s="417" t="s">
        <v>12</v>
      </c>
    </row>
    <row r="1078" spans="1:3" ht="12.75">
      <c r="A1078" s="417" t="s">
        <v>2379</v>
      </c>
      <c r="B1078" s="417" t="s">
        <v>2378</v>
      </c>
      <c r="C1078" s="417" t="s">
        <v>13</v>
      </c>
    </row>
    <row r="1079" spans="1:3" ht="12.75">
      <c r="A1079" s="417" t="s">
        <v>2381</v>
      </c>
      <c r="B1079" s="417" t="s">
        <v>2380</v>
      </c>
      <c r="C1079" s="417" t="s">
        <v>12</v>
      </c>
    </row>
    <row r="1080" spans="1:3" ht="12.75">
      <c r="A1080" s="417" t="s">
        <v>2383</v>
      </c>
      <c r="B1080" s="417" t="s">
        <v>2382</v>
      </c>
      <c r="C1080" s="417" t="s">
        <v>13</v>
      </c>
    </row>
    <row r="1081" spans="1:3" ht="12.75">
      <c r="A1081" s="417" t="s">
        <v>2373</v>
      </c>
      <c r="B1081" s="417" t="s">
        <v>2384</v>
      </c>
      <c r="C1081" s="417" t="s">
        <v>12</v>
      </c>
    </row>
    <row r="1082" spans="1:3" ht="12.75">
      <c r="A1082" s="417" t="s">
        <v>2386</v>
      </c>
      <c r="B1082" s="417" t="s">
        <v>2385</v>
      </c>
      <c r="C1082" s="417" t="s">
        <v>12</v>
      </c>
    </row>
    <row r="1083" spans="1:3" ht="12.75">
      <c r="A1083" s="417" t="s">
        <v>2388</v>
      </c>
      <c r="B1083" s="417" t="s">
        <v>2387</v>
      </c>
      <c r="C1083" s="417" t="s">
        <v>13</v>
      </c>
    </row>
    <row r="1084" spans="1:3" ht="12.75">
      <c r="A1084" s="417" t="s">
        <v>2390</v>
      </c>
      <c r="B1084" s="417" t="s">
        <v>2389</v>
      </c>
      <c r="C1084" s="417" t="s">
        <v>13</v>
      </c>
    </row>
    <row r="1085" spans="1:3" ht="12.75">
      <c r="A1085" s="417" t="s">
        <v>2392</v>
      </c>
      <c r="B1085" s="417" t="s">
        <v>2391</v>
      </c>
      <c r="C1085" s="417" t="s">
        <v>12</v>
      </c>
    </row>
    <row r="1086" spans="1:3" ht="12.75">
      <c r="A1086" s="417" t="s">
        <v>2394</v>
      </c>
      <c r="B1086" s="417" t="s">
        <v>2393</v>
      </c>
      <c r="C1086" s="417" t="s">
        <v>12</v>
      </c>
    </row>
    <row r="1087" spans="1:3" ht="12.75">
      <c r="A1087" s="417" t="s">
        <v>2396</v>
      </c>
      <c r="B1087" s="417" t="s">
        <v>2395</v>
      </c>
      <c r="C1087" s="417" t="s">
        <v>12</v>
      </c>
    </row>
    <row r="1088" spans="1:3" ht="12.75">
      <c r="A1088" s="417" t="s">
        <v>2398</v>
      </c>
      <c r="B1088" s="417" t="s">
        <v>2397</v>
      </c>
      <c r="C1088" s="417" t="s">
        <v>11</v>
      </c>
    </row>
    <row r="1089" spans="1:3" ht="12.75">
      <c r="A1089" s="417" t="s">
        <v>2400</v>
      </c>
      <c r="B1089" s="417" t="s">
        <v>2399</v>
      </c>
      <c r="C1089" s="417" t="s">
        <v>11</v>
      </c>
    </row>
    <row r="1090" spans="1:3" ht="12.75">
      <c r="A1090" s="417" t="s">
        <v>2402</v>
      </c>
      <c r="B1090" s="417" t="s">
        <v>2401</v>
      </c>
      <c r="C1090" s="417" t="s">
        <v>11</v>
      </c>
    </row>
    <row r="1091" spans="1:3" ht="12.75">
      <c r="A1091" s="417" t="s">
        <v>2404</v>
      </c>
      <c r="B1091" s="417" t="s">
        <v>2403</v>
      </c>
      <c r="C1091" s="417" t="s">
        <v>11</v>
      </c>
    </row>
    <row r="1092" spans="1:3" ht="12.75">
      <c r="A1092" s="417" t="s">
        <v>2406</v>
      </c>
      <c r="B1092" s="417" t="s">
        <v>2405</v>
      </c>
      <c r="C1092" s="417" t="s">
        <v>11</v>
      </c>
    </row>
    <row r="1093" spans="1:3" ht="12.75">
      <c r="A1093" s="417" t="s">
        <v>2408</v>
      </c>
      <c r="B1093" s="417" t="s">
        <v>2407</v>
      </c>
      <c r="C1093" s="417" t="s">
        <v>11</v>
      </c>
    </row>
    <row r="1094" spans="1:3" ht="12.75">
      <c r="A1094" s="417" t="s">
        <v>2410</v>
      </c>
      <c r="B1094" s="417" t="s">
        <v>2409</v>
      </c>
      <c r="C1094" s="417" t="s">
        <v>11</v>
      </c>
    </row>
    <row r="1095" spans="1:3" ht="12.75">
      <c r="A1095" s="417" t="s">
        <v>2412</v>
      </c>
      <c r="B1095" s="417" t="s">
        <v>2411</v>
      </c>
      <c r="C1095" s="417" t="s">
        <v>11</v>
      </c>
    </row>
    <row r="1096" spans="1:3" ht="12.75">
      <c r="A1096" s="417" t="s">
        <v>2414</v>
      </c>
      <c r="B1096" s="417" t="s">
        <v>2413</v>
      </c>
      <c r="C1096" s="417" t="s">
        <v>12</v>
      </c>
    </row>
    <row r="1097" spans="1:3" ht="12.75">
      <c r="A1097" s="417" t="s">
        <v>2416</v>
      </c>
      <c r="B1097" s="417" t="s">
        <v>2415</v>
      </c>
      <c r="C1097" s="417" t="s">
        <v>12</v>
      </c>
    </row>
    <row r="1098" spans="1:3" ht="12.75">
      <c r="A1098" s="417" t="s">
        <v>2418</v>
      </c>
      <c r="B1098" s="417" t="s">
        <v>2417</v>
      </c>
      <c r="C1098" s="417" t="s">
        <v>12</v>
      </c>
    </row>
    <row r="1099" spans="1:3" ht="12.75">
      <c r="A1099" s="417" t="s">
        <v>2420</v>
      </c>
      <c r="B1099" s="417" t="s">
        <v>2419</v>
      </c>
      <c r="C1099" s="417" t="s">
        <v>12</v>
      </c>
    </row>
    <row r="1100" spans="1:3" ht="12.75">
      <c r="A1100" s="417" t="s">
        <v>2422</v>
      </c>
      <c r="B1100" s="417" t="s">
        <v>2421</v>
      </c>
      <c r="C1100" s="417" t="s">
        <v>12</v>
      </c>
    </row>
    <row r="1101" spans="1:3" ht="12.75">
      <c r="A1101" s="417" t="s">
        <v>110</v>
      </c>
      <c r="B1101" s="417" t="s">
        <v>172</v>
      </c>
      <c r="C1101" s="417" t="s">
        <v>13</v>
      </c>
    </row>
    <row r="1102" spans="1:3" ht="12.75">
      <c r="A1102" s="417" t="s">
        <v>2423</v>
      </c>
      <c r="B1102" s="417" t="s">
        <v>2424</v>
      </c>
      <c r="C1102" s="417" t="s">
        <v>13</v>
      </c>
    </row>
    <row r="1103" spans="1:3" ht="12.75">
      <c r="A1103" s="417" t="s">
        <v>2423</v>
      </c>
      <c r="B1103" s="417" t="s">
        <v>2425</v>
      </c>
      <c r="C1103" s="417" t="s">
        <v>13</v>
      </c>
    </row>
    <row r="1104" spans="1:3" ht="12.75">
      <c r="A1104" s="417" t="s">
        <v>2423</v>
      </c>
      <c r="B1104" s="417" t="s">
        <v>2426</v>
      </c>
      <c r="C1104" s="417" t="s">
        <v>13</v>
      </c>
    </row>
    <row r="1105" spans="1:3" ht="12.75">
      <c r="A1105" s="417" t="s">
        <v>2428</v>
      </c>
      <c r="B1105" s="417" t="s">
        <v>2427</v>
      </c>
      <c r="C1105" s="417" t="s">
        <v>13</v>
      </c>
    </row>
    <row r="1109" ht="12.75">
      <c r="A1109" s="425" t="s">
        <v>2484</v>
      </c>
    </row>
    <row r="1110" ht="12.75">
      <c r="A1110" s="425" t="s">
        <v>2485</v>
      </c>
    </row>
    <row r="1111" ht="12.75">
      <c r="A1111" s="425" t="s">
        <v>2483</v>
      </c>
    </row>
    <row r="1112" ht="12.75">
      <c r="A1112" s="425" t="s">
        <v>2486</v>
      </c>
    </row>
    <row r="1114" ht="12.75">
      <c r="A1114" s="425" t="s">
        <v>2498</v>
      </c>
    </row>
    <row r="1115" ht="12.75">
      <c r="A1115" s="425" t="s">
        <v>2499</v>
      </c>
    </row>
    <row r="1116" ht="12.75">
      <c r="A1116" s="425" t="s">
        <v>2500</v>
      </c>
    </row>
  </sheetData>
  <sheetProtection/>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2:AD79"/>
  <sheetViews>
    <sheetView tabSelected="1" zoomScaleSheetLayoutView="85" zoomScalePageLayoutView="55" workbookViewId="0" topLeftCell="A1">
      <selection activeCell="G14" sqref="G14"/>
    </sheetView>
  </sheetViews>
  <sheetFormatPr defaultColWidth="9.140625" defaultRowHeight="12.75"/>
  <cols>
    <col min="1" max="1" width="5.140625" style="93" customWidth="1"/>
    <col min="2" max="2" width="35.7109375" style="93" customWidth="1"/>
    <col min="3" max="3" width="28.57421875" style="93" customWidth="1"/>
    <col min="4" max="4" width="8.7109375" style="93" customWidth="1"/>
    <col min="5" max="5" width="18.421875" style="93" customWidth="1"/>
    <col min="6" max="6" width="8.7109375" style="93" customWidth="1"/>
    <col min="7" max="7" width="18.421875" style="93" customWidth="1"/>
    <col min="8" max="8" width="34.7109375" style="93" customWidth="1"/>
    <col min="9" max="9" width="12.7109375" style="93" customWidth="1"/>
    <col min="10" max="14" width="9.140625" style="93" customWidth="1"/>
    <col min="15" max="15" width="14.7109375" style="93" customWidth="1"/>
    <col min="16" max="16384" width="9.140625" style="93" customWidth="1"/>
  </cols>
  <sheetData>
    <row r="1" ht="12.75"/>
    <row r="2" spans="2:16" ht="23.25" customHeight="1">
      <c r="B2" s="676" t="s">
        <v>2522</v>
      </c>
      <c r="C2" s="676"/>
      <c r="D2" s="676"/>
      <c r="E2" s="676"/>
      <c r="F2" s="677" t="s">
        <v>2497</v>
      </c>
      <c r="G2" s="677"/>
      <c r="H2" s="618" t="s">
        <v>2498</v>
      </c>
      <c r="K2" s="92"/>
      <c r="L2" s="92"/>
      <c r="M2" s="92"/>
      <c r="N2" s="92"/>
      <c r="O2" s="92"/>
      <c r="P2" s="92"/>
    </row>
    <row r="3" spans="2:16" s="94" customFormat="1" ht="9" customHeight="1">
      <c r="B3" s="541"/>
      <c r="C3" s="541"/>
      <c r="D3" s="541"/>
      <c r="E3" s="541"/>
      <c r="F3" s="542"/>
      <c r="G3" s="542"/>
      <c r="H3" s="543"/>
      <c r="K3" s="92"/>
      <c r="L3" s="92"/>
      <c r="M3" s="92"/>
      <c r="N3" s="92"/>
      <c r="O3" s="92"/>
      <c r="P3" s="92"/>
    </row>
    <row r="4" spans="2:16" ht="18.75" thickBot="1">
      <c r="B4" s="690" t="s">
        <v>55</v>
      </c>
      <c r="C4" s="690"/>
      <c r="D4" s="690"/>
      <c r="E4" s="690"/>
      <c r="F4" s="690"/>
      <c r="G4" s="690"/>
      <c r="H4" s="690"/>
      <c r="I4" s="94"/>
      <c r="J4" s="95"/>
      <c r="K4" s="96"/>
      <c r="L4" s="96"/>
      <c r="M4" s="96"/>
      <c r="N4" s="96"/>
      <c r="O4" s="96"/>
      <c r="P4" s="97"/>
    </row>
    <row r="5" spans="9:16" ht="7.5" customHeight="1">
      <c r="I5" s="94"/>
      <c r="J5" s="95"/>
      <c r="K5" s="96"/>
      <c r="L5" s="96"/>
      <c r="M5" s="96"/>
      <c r="N5" s="96"/>
      <c r="O5" s="96"/>
      <c r="P5" s="97"/>
    </row>
    <row r="6" spans="2:16" ht="18" customHeight="1">
      <c r="B6" s="349" t="s">
        <v>343</v>
      </c>
      <c r="C6" s="619"/>
      <c r="D6" s="98" t="s">
        <v>183</v>
      </c>
      <c r="E6" s="539">
        <f ca="1">TODAY()</f>
        <v>44126</v>
      </c>
      <c r="F6" s="100"/>
      <c r="G6" s="100"/>
      <c r="H6" s="100" t="s">
        <v>192</v>
      </c>
      <c r="K6" s="96"/>
      <c r="L6" s="96"/>
      <c r="M6" s="96"/>
      <c r="N6" s="96"/>
      <c r="O6" s="96"/>
      <c r="P6" s="97"/>
    </row>
    <row r="7" spans="2:16" ht="7.5" customHeight="1">
      <c r="B7" s="98"/>
      <c r="C7" s="348"/>
      <c r="D7" s="98"/>
      <c r="E7" s="99"/>
      <c r="F7" s="100"/>
      <c r="G7" s="100"/>
      <c r="H7" s="100"/>
      <c r="K7" s="96"/>
      <c r="L7" s="96"/>
      <c r="M7" s="96"/>
      <c r="N7" s="96"/>
      <c r="O7" s="96"/>
      <c r="P7" s="97"/>
    </row>
    <row r="8" spans="2:16" ht="18" customHeight="1">
      <c r="B8" s="384" t="s">
        <v>344</v>
      </c>
      <c r="C8" s="691"/>
      <c r="D8" s="691"/>
      <c r="E8" s="691"/>
      <c r="F8" s="691"/>
      <c r="G8" s="691"/>
      <c r="H8" s="691"/>
      <c r="I8" s="385"/>
      <c r="K8" s="96"/>
      <c r="L8" s="96"/>
      <c r="M8" s="96"/>
      <c r="N8" s="96"/>
      <c r="O8" s="96"/>
      <c r="P8" s="97"/>
    </row>
    <row r="9" spans="2:16" ht="7.5" customHeight="1" thickBot="1">
      <c r="B9" s="98"/>
      <c r="C9" s="98"/>
      <c r="D9" s="98"/>
      <c r="E9" s="99"/>
      <c r="F9" s="100"/>
      <c r="G9" s="100"/>
      <c r="H9" s="100"/>
      <c r="I9" s="101"/>
      <c r="J9" s="95"/>
      <c r="K9" s="96"/>
      <c r="L9" s="96"/>
      <c r="M9" s="96"/>
      <c r="N9" s="96"/>
      <c r="O9" s="96"/>
      <c r="P9" s="97"/>
    </row>
    <row r="10" spans="2:16" ht="18" customHeight="1">
      <c r="B10" s="660" t="s">
        <v>2493</v>
      </c>
      <c r="C10" s="661"/>
      <c r="D10" s="661"/>
      <c r="E10" s="661"/>
      <c r="F10" s="661"/>
      <c r="G10" s="620" t="s">
        <v>2484</v>
      </c>
      <c r="H10" s="102"/>
      <c r="I10" s="675" t="s">
        <v>2524</v>
      </c>
      <c r="J10" s="675"/>
      <c r="K10" s="675"/>
      <c r="L10" s="9"/>
      <c r="M10" s="9"/>
      <c r="N10" s="9"/>
      <c r="O10" s="10"/>
      <c r="P10" s="92"/>
    </row>
    <row r="11" spans="2:16" ht="18" customHeight="1">
      <c r="B11" s="547"/>
      <c r="C11" s="422"/>
      <c r="D11" s="548" t="s">
        <v>2465</v>
      </c>
      <c r="E11" s="622"/>
      <c r="F11" s="548" t="s">
        <v>26</v>
      </c>
      <c r="G11" s="621"/>
      <c r="H11" s="102"/>
      <c r="I11" s="675"/>
      <c r="J11" s="675"/>
      <c r="K11" s="675"/>
      <c r="L11" s="9"/>
      <c r="M11" s="9"/>
      <c r="N11" s="9"/>
      <c r="O11" s="10"/>
      <c r="P11" s="92"/>
    </row>
    <row r="12" spans="2:16" ht="16.5" customHeight="1" thickBot="1">
      <c r="B12" s="547"/>
      <c r="C12" s="549"/>
      <c r="D12" s="550" t="s">
        <v>50</v>
      </c>
      <c r="E12" s="551">
        <f>G11-E11</f>
        <v>0</v>
      </c>
      <c r="F12" s="421" t="s">
        <v>51</v>
      </c>
      <c r="G12" s="552">
        <f>E12*5280</f>
        <v>0</v>
      </c>
      <c r="H12" s="102"/>
      <c r="I12" s="675"/>
      <c r="J12" s="675"/>
      <c r="K12" s="675"/>
      <c r="L12" s="92"/>
      <c r="M12" s="92"/>
      <c r="N12" s="92"/>
      <c r="O12" s="92"/>
      <c r="P12" s="92"/>
    </row>
    <row r="13" spans="2:16" ht="16.5" customHeight="1">
      <c r="B13" s="553"/>
      <c r="C13" s="549"/>
      <c r="D13" s="550" t="s">
        <v>2496</v>
      </c>
      <c r="E13" s="554">
        <v>2021</v>
      </c>
      <c r="F13" s="549"/>
      <c r="G13" s="555"/>
      <c r="H13" s="692" t="s">
        <v>2526</v>
      </c>
      <c r="I13" s="533"/>
      <c r="J13" s="533"/>
      <c r="K13" s="533"/>
      <c r="L13" s="92"/>
      <c r="M13" s="92"/>
      <c r="N13" s="92"/>
      <c r="O13" s="92"/>
      <c r="P13" s="92"/>
    </row>
    <row r="14" spans="2:8" ht="18" customHeight="1">
      <c r="B14" s="553"/>
      <c r="C14" s="549"/>
      <c r="D14" s="550" t="s">
        <v>303</v>
      </c>
      <c r="E14" s="623">
        <v>2027</v>
      </c>
      <c r="F14" s="556"/>
      <c r="G14" s="555"/>
      <c r="H14" s="693"/>
    </row>
    <row r="15" spans="2:9" ht="16.5" customHeight="1" thickBot="1">
      <c r="B15" s="553"/>
      <c r="C15" s="549"/>
      <c r="D15" s="550" t="s">
        <v>184</v>
      </c>
      <c r="E15" s="617">
        <f>VLOOKUP($E$14,Inflation!B6:E37,4,FALSE)</f>
        <v>1.3617702382107595</v>
      </c>
      <c r="F15" s="549">
        <f>E14-E13</f>
        <v>6</v>
      </c>
      <c r="G15" s="555" t="s">
        <v>25</v>
      </c>
      <c r="H15" s="694"/>
      <c r="I15" s="102"/>
    </row>
    <row r="16" spans="2:9" ht="18" customHeight="1">
      <c r="B16" s="553"/>
      <c r="C16" s="549"/>
      <c r="D16" s="550" t="s">
        <v>142</v>
      </c>
      <c r="E16" s="624">
        <v>0.05</v>
      </c>
      <c r="F16" s="549"/>
      <c r="G16" s="555"/>
      <c r="H16" s="102"/>
      <c r="I16" s="102"/>
    </row>
    <row r="17" spans="2:9" ht="18" customHeight="1">
      <c r="B17" s="553"/>
      <c r="C17" s="549"/>
      <c r="D17" s="550" t="s">
        <v>2462</v>
      </c>
      <c r="E17" s="624">
        <v>0.04</v>
      </c>
      <c r="F17" s="549"/>
      <c r="G17" s="555"/>
      <c r="H17" s="102"/>
      <c r="I17" s="102"/>
    </row>
    <row r="18" spans="2:9" ht="18" customHeight="1">
      <c r="B18" s="553"/>
      <c r="C18" s="549"/>
      <c r="D18" s="550" t="s">
        <v>185</v>
      </c>
      <c r="E18" s="624">
        <v>0.1</v>
      </c>
      <c r="F18" s="549"/>
      <c r="G18" s="555"/>
      <c r="H18" s="103"/>
      <c r="I18" s="102"/>
    </row>
    <row r="19" spans="2:9" ht="18" customHeight="1">
      <c r="B19" s="557"/>
      <c r="C19" s="549"/>
      <c r="D19" s="550" t="s">
        <v>56</v>
      </c>
      <c r="E19" s="624">
        <v>0.11</v>
      </c>
      <c r="F19" s="549"/>
      <c r="G19" s="555"/>
      <c r="H19" s="103"/>
      <c r="I19" s="102"/>
    </row>
    <row r="20" spans="2:9" ht="18" customHeight="1">
      <c r="B20" s="557"/>
      <c r="C20" s="549"/>
      <c r="D20" s="550" t="s">
        <v>57</v>
      </c>
      <c r="E20" s="624">
        <v>0.12654</v>
      </c>
      <c r="F20" s="549"/>
      <c r="G20" s="555"/>
      <c r="H20" s="103"/>
      <c r="I20" s="102"/>
    </row>
    <row r="21" spans="2:9" ht="13.5" thickBot="1">
      <c r="B21" s="558"/>
      <c r="C21" s="559"/>
      <c r="D21" s="560"/>
      <c r="E21" s="561"/>
      <c r="F21" s="559"/>
      <c r="G21" s="562"/>
      <c r="H21" s="107"/>
      <c r="I21" s="102"/>
    </row>
    <row r="22" spans="2:9" ht="9.75" customHeight="1" thickBot="1">
      <c r="B22" s="107"/>
      <c r="C22" s="107"/>
      <c r="D22" s="107"/>
      <c r="E22" s="107"/>
      <c r="F22" s="107"/>
      <c r="G22" s="563"/>
      <c r="H22" s="107"/>
      <c r="I22" s="102"/>
    </row>
    <row r="23" spans="2:9" ht="16.5" customHeight="1" thickBot="1">
      <c r="B23" s="564" t="s">
        <v>159</v>
      </c>
      <c r="C23" s="565"/>
      <c r="D23" s="565"/>
      <c r="E23" s="565"/>
      <c r="F23" s="566"/>
      <c r="G23" s="565" t="s">
        <v>8</v>
      </c>
      <c r="H23" s="567" t="s">
        <v>9</v>
      </c>
      <c r="I23" s="104"/>
    </row>
    <row r="24" spans="2:9" s="107" customFormat="1" ht="15.75" customHeight="1">
      <c r="B24" s="568" t="s">
        <v>320</v>
      </c>
      <c r="C24" s="569"/>
      <c r="D24" s="556"/>
      <c r="E24" s="570"/>
      <c r="F24" s="571"/>
      <c r="G24" s="572">
        <f>'PI-Roadway-Drainage'!G53</f>
        <v>0</v>
      </c>
      <c r="H24" s="573"/>
      <c r="I24" s="537"/>
    </row>
    <row r="25" spans="2:9" s="107" customFormat="1" ht="15.75" customHeight="1">
      <c r="B25" s="568" t="s">
        <v>106</v>
      </c>
      <c r="C25" s="574"/>
      <c r="D25" s="575"/>
      <c r="E25" s="576"/>
      <c r="F25" s="571"/>
      <c r="G25" s="572">
        <f>'PI-Roadway-Drainage'!G41+'PI-Roadway-Drainage'!G50</f>
        <v>0</v>
      </c>
      <c r="H25" s="573"/>
      <c r="I25" s="537"/>
    </row>
    <row r="26" spans="2:9" s="107" customFormat="1" ht="15.75" customHeight="1">
      <c r="B26" s="577" t="s">
        <v>107</v>
      </c>
      <c r="C26" s="578"/>
      <c r="D26" s="556"/>
      <c r="E26" s="570"/>
      <c r="F26" s="555"/>
      <c r="G26" s="572">
        <f>+'Traffic-Safety-ITS'!G24</f>
        <v>0</v>
      </c>
      <c r="H26" s="573"/>
      <c r="I26" s="105"/>
    </row>
    <row r="27" spans="2:9" s="107" customFormat="1" ht="15.75" customHeight="1">
      <c r="B27" s="577" t="s">
        <v>96</v>
      </c>
      <c r="C27" s="578"/>
      <c r="D27" s="556"/>
      <c r="E27" s="570"/>
      <c r="F27" s="555"/>
      <c r="G27" s="572">
        <f>+Structures!G26</f>
        <v>0</v>
      </c>
      <c r="H27" s="573"/>
      <c r="I27" s="537"/>
    </row>
    <row r="28" spans="2:9" s="107" customFormat="1" ht="15.75" customHeight="1">
      <c r="B28" s="577" t="s">
        <v>102</v>
      </c>
      <c r="C28" s="578"/>
      <c r="D28" s="556"/>
      <c r="E28" s="570"/>
      <c r="F28" s="555"/>
      <c r="G28" s="572">
        <f>+Environmental!G23</f>
        <v>0</v>
      </c>
      <c r="H28" s="573"/>
      <c r="I28" s="537"/>
    </row>
    <row r="29" spans="2:9" s="107" customFormat="1" ht="15.75" customHeight="1" thickBot="1">
      <c r="B29" s="579" t="s">
        <v>108</v>
      </c>
      <c r="C29" s="580"/>
      <c r="D29" s="581"/>
      <c r="E29" s="582"/>
      <c r="F29" s="583"/>
      <c r="G29" s="584">
        <f>+'Traffic-Safety-ITS'!G29</f>
        <v>0</v>
      </c>
      <c r="H29" s="585"/>
      <c r="I29" s="538"/>
    </row>
    <row r="30" spans="2:9" ht="18" customHeight="1" thickBot="1">
      <c r="B30" s="540" t="s">
        <v>2495</v>
      </c>
      <c r="C30" s="662" t="s">
        <v>2513</v>
      </c>
      <c r="D30" s="663"/>
      <c r="E30" s="663"/>
      <c r="F30" s="664"/>
      <c r="G30" s="625">
        <v>0</v>
      </c>
      <c r="H30" s="585"/>
      <c r="I30" s="38"/>
    </row>
    <row r="31" spans="2:9" ht="17.25" customHeight="1" thickTop="1">
      <c r="B31" s="586"/>
      <c r="C31" s="422"/>
      <c r="D31" s="422"/>
      <c r="E31" s="422"/>
      <c r="F31" s="587" t="s">
        <v>58</v>
      </c>
      <c r="G31" s="588">
        <f>+SUM(G24:G30)</f>
        <v>0</v>
      </c>
      <c r="H31" s="585"/>
      <c r="I31" s="38"/>
    </row>
    <row r="32" spans="2:9" ht="17.25" customHeight="1">
      <c r="B32" s="586"/>
      <c r="C32" s="422"/>
      <c r="D32" s="422"/>
      <c r="E32" s="548" t="s">
        <v>176</v>
      </c>
      <c r="F32" s="589">
        <f>$E$18</f>
        <v>0.1</v>
      </c>
      <c r="G32" s="590">
        <f>ROUND(+G31*F32,0)</f>
        <v>0</v>
      </c>
      <c r="H32" s="585"/>
      <c r="I32" s="38"/>
    </row>
    <row r="33" spans="2:9" ht="17.25" customHeight="1" thickBot="1">
      <c r="B33" s="591"/>
      <c r="C33" s="423"/>
      <c r="D33" s="423"/>
      <c r="E33" s="559"/>
      <c r="F33" s="592" t="s">
        <v>19</v>
      </c>
      <c r="G33" s="593">
        <f>+G31+G32</f>
        <v>0</v>
      </c>
      <c r="H33" s="594"/>
      <c r="I33" s="102"/>
    </row>
    <row r="34" spans="2:9" s="107" customFormat="1" ht="15.75" customHeight="1" thickBot="1">
      <c r="B34" s="595" t="s">
        <v>23</v>
      </c>
      <c r="C34" s="596"/>
      <c r="D34" s="596"/>
      <c r="E34" s="596"/>
      <c r="F34" s="597" t="s">
        <v>2516</v>
      </c>
      <c r="G34" s="598">
        <f>(G33+G38)*E19</f>
        <v>0</v>
      </c>
      <c r="H34" s="599">
        <f>E19</f>
        <v>0.11</v>
      </c>
      <c r="I34" s="534"/>
    </row>
    <row r="35" spans="2:9" s="107" customFormat="1" ht="15.75" customHeight="1" thickBot="1">
      <c r="B35" s="600" t="s">
        <v>24</v>
      </c>
      <c r="C35" s="601"/>
      <c r="D35" s="601"/>
      <c r="E35" s="601"/>
      <c r="F35" s="602" t="s">
        <v>2517</v>
      </c>
      <c r="G35" s="603">
        <f>(G33+G38)*E20</f>
        <v>0</v>
      </c>
      <c r="H35" s="599">
        <f>E20</f>
        <v>0.12654</v>
      </c>
      <c r="I35" s="534"/>
    </row>
    <row r="36" spans="2:9" s="107" customFormat="1" ht="15.75" customHeight="1" thickBot="1">
      <c r="B36" s="604" t="s">
        <v>1</v>
      </c>
      <c r="C36" s="596"/>
      <c r="D36" s="596"/>
      <c r="E36" s="596"/>
      <c r="F36" s="597" t="s">
        <v>2518</v>
      </c>
      <c r="G36" s="605">
        <f>SUM('Util-RW-Inc'!G38)</f>
        <v>0</v>
      </c>
      <c r="H36" s="606"/>
      <c r="I36" s="535"/>
    </row>
    <row r="37" spans="2:9" s="107" customFormat="1" ht="15.75" customHeight="1" thickBot="1">
      <c r="B37" s="607" t="s">
        <v>2</v>
      </c>
      <c r="C37" s="601"/>
      <c r="D37" s="601"/>
      <c r="E37" s="601"/>
      <c r="F37" s="602" t="s">
        <v>2519</v>
      </c>
      <c r="G37" s="608">
        <f>+'Util-RW-Inc'!G28</f>
        <v>0</v>
      </c>
      <c r="H37" s="609"/>
      <c r="I37" s="535"/>
    </row>
    <row r="38" spans="2:9" s="107" customFormat="1" ht="15.75" customHeight="1" thickBot="1">
      <c r="B38" s="604" t="s">
        <v>20</v>
      </c>
      <c r="C38" s="610"/>
      <c r="D38" s="610"/>
      <c r="E38" s="610"/>
      <c r="F38" s="597" t="s">
        <v>2520</v>
      </c>
      <c r="G38" s="605">
        <f>+'Util-RW-Inc'!G51</f>
        <v>0</v>
      </c>
      <c r="H38" s="609"/>
      <c r="I38" s="536"/>
    </row>
    <row r="39" spans="2:9" ht="27" customHeight="1">
      <c r="B39" s="611" t="s">
        <v>21</v>
      </c>
      <c r="C39" s="612"/>
      <c r="D39" s="612"/>
      <c r="E39" s="613"/>
      <c r="F39" s="614" t="s">
        <v>2521</v>
      </c>
      <c r="G39" s="667">
        <v>0</v>
      </c>
      <c r="H39" s="653" t="s">
        <v>2523</v>
      </c>
      <c r="I39" s="102"/>
    </row>
    <row r="40" spans="2:9" ht="17.25" customHeight="1" thickBot="1">
      <c r="B40" s="665" t="s">
        <v>2515</v>
      </c>
      <c r="C40" s="666"/>
      <c r="D40" s="666"/>
      <c r="E40" s="666"/>
      <c r="F40" s="666"/>
      <c r="G40" s="668"/>
      <c r="H40" s="654"/>
      <c r="I40" s="102"/>
    </row>
    <row r="41" spans="2:9" ht="13.5" thickBot="1">
      <c r="B41" s="102"/>
      <c r="C41" s="102"/>
      <c r="D41" s="102"/>
      <c r="E41" s="102"/>
      <c r="F41" s="102"/>
      <c r="G41" s="102"/>
      <c r="H41" s="102"/>
      <c r="I41" s="102"/>
    </row>
    <row r="42" spans="2:9" ht="18" customHeight="1" thickBot="1">
      <c r="B42" s="512" t="s">
        <v>2502</v>
      </c>
      <c r="C42" s="517"/>
      <c r="D42" s="655">
        <f>+E13</f>
        <v>2021</v>
      </c>
      <c r="E42" s="656"/>
      <c r="F42" s="657">
        <f>E14</f>
        <v>2027</v>
      </c>
      <c r="G42" s="656"/>
      <c r="H42" s="102"/>
      <c r="I42" s="101"/>
    </row>
    <row r="43" spans="2:9" ht="18" customHeight="1">
      <c r="B43" s="680" t="s">
        <v>2503</v>
      </c>
      <c r="C43" s="681"/>
      <c r="D43" s="629"/>
      <c r="E43" s="626">
        <v>0</v>
      </c>
      <c r="F43" s="684" t="s">
        <v>2514</v>
      </c>
      <c r="G43" s="685"/>
      <c r="H43" s="490"/>
      <c r="I43" s="101"/>
    </row>
    <row r="44" spans="2:9" s="107" customFormat="1" ht="18" customHeight="1">
      <c r="B44" s="678" t="s">
        <v>2504</v>
      </c>
      <c r="C44" s="679"/>
      <c r="D44" s="630"/>
      <c r="E44" s="627">
        <v>0</v>
      </c>
      <c r="F44" s="686"/>
      <c r="G44" s="687"/>
      <c r="H44" s="491"/>
      <c r="I44" s="101"/>
    </row>
    <row r="45" spans="2:9" ht="18" customHeight="1" thickBot="1">
      <c r="B45" s="682" t="s">
        <v>2505</v>
      </c>
      <c r="C45" s="683"/>
      <c r="D45" s="631"/>
      <c r="E45" s="628">
        <v>0</v>
      </c>
      <c r="F45" s="688"/>
      <c r="G45" s="689"/>
      <c r="H45" s="492"/>
      <c r="I45" s="101"/>
    </row>
    <row r="46" spans="2:9" ht="15.75" customHeight="1">
      <c r="B46" s="513"/>
      <c r="C46" s="518" t="s">
        <v>15</v>
      </c>
      <c r="D46" s="513"/>
      <c r="E46" s="615">
        <f>ROUND(G34,-2)</f>
        <v>0</v>
      </c>
      <c r="F46" s="422"/>
      <c r="G46" s="616">
        <f>ROUND(E46*(1+$E$16)^$F$15,-2)</f>
        <v>0</v>
      </c>
      <c r="H46" s="106"/>
      <c r="I46" s="101"/>
    </row>
    <row r="47" spans="2:9" ht="15.75" customHeight="1">
      <c r="B47" s="513"/>
      <c r="C47" s="518" t="s">
        <v>1</v>
      </c>
      <c r="D47" s="513"/>
      <c r="E47" s="521">
        <f>ROUND(G36,-2)</f>
        <v>0</v>
      </c>
      <c r="F47" s="38"/>
      <c r="G47" s="514">
        <f>ROUND((G36*(1+$E$17)^$F$15),-2)</f>
        <v>0</v>
      </c>
      <c r="H47" s="106"/>
      <c r="I47" s="102"/>
    </row>
    <row r="48" spans="2:9" ht="15.75" customHeight="1">
      <c r="B48" s="513"/>
      <c r="C48" s="518" t="s">
        <v>2</v>
      </c>
      <c r="D48" s="513"/>
      <c r="E48" s="521">
        <f>ROUND(G37,-2)</f>
        <v>0</v>
      </c>
      <c r="F48" s="38"/>
      <c r="G48" s="514">
        <f>ROUND(E48*E15,-2)</f>
        <v>0</v>
      </c>
      <c r="H48" s="102"/>
      <c r="I48" s="102"/>
    </row>
    <row r="49" spans="2:9" ht="15.75" customHeight="1">
      <c r="B49" s="513"/>
      <c r="C49" s="518" t="s">
        <v>16</v>
      </c>
      <c r="D49" s="513"/>
      <c r="E49" s="521">
        <f>ROUND(G33,-2)</f>
        <v>0</v>
      </c>
      <c r="F49" s="38"/>
      <c r="G49" s="514">
        <f>ROUND(E49*E15,-2)</f>
        <v>0</v>
      </c>
      <c r="H49" s="102"/>
      <c r="I49" s="102"/>
    </row>
    <row r="50" spans="2:9" ht="15.75" customHeight="1">
      <c r="B50" s="513"/>
      <c r="C50" s="518" t="s">
        <v>17</v>
      </c>
      <c r="D50" s="513"/>
      <c r="E50" s="521">
        <f>ROUND(G35,-2)</f>
        <v>0</v>
      </c>
      <c r="F50" s="38"/>
      <c r="G50" s="514">
        <f>ROUND(E50*(1+$E$16)^$F$15,-2)</f>
        <v>0</v>
      </c>
      <c r="H50" s="102"/>
      <c r="I50" s="102"/>
    </row>
    <row r="51" spans="2:9" ht="15.75" customHeight="1">
      <c r="B51" s="513"/>
      <c r="C51" s="518" t="s">
        <v>20</v>
      </c>
      <c r="D51" s="513"/>
      <c r="E51" s="521">
        <f>ROUND(G38,-2)</f>
        <v>0</v>
      </c>
      <c r="F51" s="38"/>
      <c r="G51" s="514">
        <f>ROUND(E51*E15,-2)</f>
        <v>0</v>
      </c>
      <c r="H51" s="102"/>
      <c r="I51" s="102"/>
    </row>
    <row r="52" spans="2:9" ht="15.75" customHeight="1">
      <c r="B52" s="513"/>
      <c r="C52" s="518" t="s">
        <v>150</v>
      </c>
      <c r="D52" s="522">
        <v>0.0075</v>
      </c>
      <c r="E52" s="521">
        <f>ROUND(D52*G33,-2)</f>
        <v>0</v>
      </c>
      <c r="F52" s="38"/>
      <c r="G52" s="514">
        <f>ROUND(E52*$E$15,-2)</f>
        <v>0</v>
      </c>
      <c r="H52" s="102"/>
      <c r="I52" s="102"/>
    </row>
    <row r="53" spans="2:9" ht="15.75" customHeight="1">
      <c r="B53" s="513"/>
      <c r="C53" s="518" t="s">
        <v>148</v>
      </c>
      <c r="D53" s="522">
        <v>0.09</v>
      </c>
      <c r="E53" s="521">
        <f>ROUND((E49+E52)*D53,-2)</f>
        <v>0</v>
      </c>
      <c r="F53" s="38"/>
      <c r="G53" s="514">
        <f>ROUND(E53*E15,-2)</f>
        <v>0</v>
      </c>
      <c r="H53" s="102"/>
      <c r="I53" s="102"/>
    </row>
    <row r="54" spans="2:9" ht="15.75" customHeight="1">
      <c r="B54" s="513"/>
      <c r="C54" s="518" t="s">
        <v>151</v>
      </c>
      <c r="D54" s="522">
        <v>0.05</v>
      </c>
      <c r="E54" s="521">
        <f>ROUND((SUM(E48:E52)+E55)*D54,-2)</f>
        <v>0</v>
      </c>
      <c r="F54" s="38"/>
      <c r="G54" s="514">
        <f>ROUND(E54*E15,-2)</f>
        <v>0</v>
      </c>
      <c r="H54" s="102"/>
      <c r="I54" s="102"/>
    </row>
    <row r="55" spans="2:9" ht="15.75" customHeight="1" thickBot="1">
      <c r="B55" s="515"/>
      <c r="C55" s="519" t="s">
        <v>21</v>
      </c>
      <c r="D55" s="515"/>
      <c r="E55" s="523">
        <f>ROUND(+G39,-2)</f>
        <v>0</v>
      </c>
      <c r="F55" s="39"/>
      <c r="G55" s="514">
        <f>ROUND(E55*E15,-2)</f>
        <v>0</v>
      </c>
      <c r="H55" s="102"/>
      <c r="I55" s="102"/>
    </row>
    <row r="56" spans="2:9" ht="19.5" customHeight="1" thickBot="1">
      <c r="B56" s="515"/>
      <c r="C56" s="39"/>
      <c r="D56" s="524" t="s">
        <v>18</v>
      </c>
      <c r="E56" s="516">
        <f>SUM(E46:E55)</f>
        <v>0</v>
      </c>
      <c r="F56" s="520" t="s">
        <v>18</v>
      </c>
      <c r="G56" s="516">
        <f>SUM(G46:G55)</f>
        <v>0</v>
      </c>
      <c r="H56" s="102"/>
      <c r="I56" s="102"/>
    </row>
    <row r="57" spans="2:8" ht="14.25" customHeight="1" thickBot="1">
      <c r="B57" s="493"/>
      <c r="C57" s="494"/>
      <c r="D57" s="493"/>
      <c r="E57" s="495"/>
      <c r="F57" s="496"/>
      <c r="G57" s="497"/>
      <c r="H57" s="501" t="s">
        <v>9</v>
      </c>
    </row>
    <row r="58" spans="2:30" ht="21.75" customHeight="1" thickBot="1">
      <c r="B58" s="658" t="s">
        <v>2507</v>
      </c>
      <c r="C58" s="659"/>
      <c r="D58" s="504"/>
      <c r="E58" s="505">
        <f>ROUND('Util-RW-Inc'!G15,-3)</f>
        <v>0</v>
      </c>
      <c r="F58" s="504"/>
      <c r="G58" s="506">
        <f>ROUND((G58*(1+$E$17)^$F$15),-3)</f>
        <v>0</v>
      </c>
      <c r="H58" s="507"/>
      <c r="I58" s="324"/>
      <c r="J58" s="324"/>
      <c r="K58" s="324"/>
      <c r="L58" s="324"/>
      <c r="M58" s="324"/>
      <c r="N58" s="201"/>
      <c r="O58" s="325"/>
      <c r="P58" s="325"/>
      <c r="Q58" s="325"/>
      <c r="R58" s="325"/>
      <c r="S58" s="325"/>
      <c r="T58" s="325"/>
      <c r="U58" s="325"/>
      <c r="V58" s="325"/>
      <c r="W58" s="325"/>
      <c r="X58" s="325"/>
      <c r="Y58" s="325"/>
      <c r="Z58" s="325"/>
      <c r="AA58" s="325"/>
      <c r="AB58" s="179"/>
      <c r="AC58" s="179"/>
      <c r="AD58" s="179"/>
    </row>
    <row r="59" spans="2:30" ht="14.25" customHeight="1" thickBot="1">
      <c r="B59" s="493"/>
      <c r="C59" s="494"/>
      <c r="D59" s="493"/>
      <c r="E59" s="495"/>
      <c r="F59" s="496"/>
      <c r="G59" s="497"/>
      <c r="H59" s="498"/>
      <c r="I59" s="324"/>
      <c r="J59" s="324"/>
      <c r="K59" s="324"/>
      <c r="L59" s="324"/>
      <c r="M59" s="324"/>
      <c r="N59" s="201"/>
      <c r="O59" s="325"/>
      <c r="P59" s="325"/>
      <c r="Q59" s="325"/>
      <c r="R59" s="325"/>
      <c r="S59" s="325"/>
      <c r="T59" s="325"/>
      <c r="U59" s="325"/>
      <c r="V59" s="325"/>
      <c r="W59" s="325"/>
      <c r="X59" s="325"/>
      <c r="Y59" s="325"/>
      <c r="Z59" s="325"/>
      <c r="AA59" s="325"/>
      <c r="AB59" s="179"/>
      <c r="AC59" s="179"/>
      <c r="AD59" s="179"/>
    </row>
    <row r="60" spans="2:28" ht="36.75" customHeight="1">
      <c r="B60" s="669" t="s">
        <v>2509</v>
      </c>
      <c r="C60" s="670"/>
      <c r="D60" s="671">
        <v>0</v>
      </c>
      <c r="E60" s="672"/>
      <c r="F60" s="673">
        <f>+$D$60</f>
        <v>0</v>
      </c>
      <c r="G60" s="674"/>
      <c r="H60" s="502" t="s">
        <v>2508</v>
      </c>
      <c r="I60" s="383"/>
      <c r="J60" s="383"/>
      <c r="K60" s="383"/>
      <c r="L60" s="326"/>
      <c r="M60" s="326"/>
      <c r="N60" s="326"/>
      <c r="O60" s="326"/>
      <c r="P60" s="326"/>
      <c r="Q60" s="326"/>
      <c r="R60" s="326"/>
      <c r="S60" s="326"/>
      <c r="T60" s="326"/>
      <c r="U60" s="326"/>
      <c r="V60" s="326"/>
      <c r="W60" s="326"/>
      <c r="X60" s="326"/>
      <c r="Y60" s="326"/>
      <c r="Z60" s="326"/>
      <c r="AA60" s="326"/>
      <c r="AB60" s="326"/>
    </row>
    <row r="61" spans="2:30" ht="21.75" customHeight="1" thickBot="1">
      <c r="B61" s="642" t="s">
        <v>2506</v>
      </c>
      <c r="C61" s="643"/>
      <c r="D61" s="643"/>
      <c r="E61" s="643"/>
      <c r="F61" s="643"/>
      <c r="G61" s="644"/>
      <c r="H61" s="503"/>
      <c r="I61" s="324"/>
      <c r="J61" s="324"/>
      <c r="K61" s="324"/>
      <c r="L61" s="324"/>
      <c r="M61" s="324"/>
      <c r="N61" s="201"/>
      <c r="O61" s="325"/>
      <c r="P61" s="325"/>
      <c r="Q61" s="325"/>
      <c r="R61" s="325"/>
      <c r="S61" s="325"/>
      <c r="T61" s="325"/>
      <c r="U61" s="325"/>
      <c r="V61" s="325"/>
      <c r="W61" s="325"/>
      <c r="X61" s="325"/>
      <c r="Y61" s="325"/>
      <c r="Z61" s="325"/>
      <c r="AA61" s="325"/>
      <c r="AB61" s="179"/>
      <c r="AC61" s="179"/>
      <c r="AD61" s="179"/>
    </row>
    <row r="62" spans="2:30" ht="14.25" customHeight="1" thickBot="1">
      <c r="B62" s="499"/>
      <c r="C62" s="500"/>
      <c r="D62" s="500"/>
      <c r="E62" s="500"/>
      <c r="F62" s="500"/>
      <c r="G62" s="500"/>
      <c r="H62" s="501"/>
      <c r="I62" s="324"/>
      <c r="J62" s="324"/>
      <c r="K62" s="324"/>
      <c r="L62" s="324"/>
      <c r="M62" s="324"/>
      <c r="N62" s="201"/>
      <c r="O62" s="325"/>
      <c r="P62" s="325"/>
      <c r="Q62" s="325"/>
      <c r="R62" s="325"/>
      <c r="S62" s="325"/>
      <c r="T62" s="325"/>
      <c r="U62" s="325"/>
      <c r="V62" s="325"/>
      <c r="W62" s="325"/>
      <c r="X62" s="325"/>
      <c r="Y62" s="325"/>
      <c r="Z62" s="325"/>
      <c r="AA62" s="325"/>
      <c r="AB62" s="179"/>
      <c r="AC62" s="179"/>
      <c r="AD62" s="179"/>
    </row>
    <row r="63" spans="1:30" ht="25.5" customHeight="1" thickBot="1">
      <c r="A63" s="91"/>
      <c r="B63" s="646" t="s">
        <v>2510</v>
      </c>
      <c r="C63" s="647"/>
      <c r="D63" s="509">
        <f>+$E$13</f>
        <v>2021</v>
      </c>
      <c r="E63" s="510">
        <f>+((SUM(E43:E45)+SUM(E56)))+G58</f>
        <v>0</v>
      </c>
      <c r="F63" s="508">
        <f>+$E$14</f>
        <v>2027</v>
      </c>
      <c r="G63" s="511">
        <f>+((SUM(E43:E45)+SUM(G56)))+G58</f>
        <v>0</v>
      </c>
      <c r="H63" s="498"/>
      <c r="I63" s="324"/>
      <c r="J63" s="324"/>
      <c r="K63" s="324"/>
      <c r="L63" s="324"/>
      <c r="M63" s="324"/>
      <c r="N63" s="201"/>
      <c r="O63" s="325"/>
      <c r="P63" s="325"/>
      <c r="Q63" s="325"/>
      <c r="R63" s="325"/>
      <c r="S63" s="325"/>
      <c r="T63" s="325"/>
      <c r="U63" s="325"/>
      <c r="V63" s="325"/>
      <c r="W63" s="325"/>
      <c r="X63" s="325"/>
      <c r="Y63" s="325"/>
      <c r="Z63" s="325"/>
      <c r="AA63" s="325"/>
      <c r="AB63" s="179"/>
      <c r="AC63" s="179"/>
      <c r="AD63" s="179"/>
    </row>
    <row r="64" spans="1:30" ht="14.25" customHeight="1" thickBot="1">
      <c r="A64" s="91"/>
      <c r="B64" s="525"/>
      <c r="C64" s="525"/>
      <c r="D64" s="525"/>
      <c r="E64" s="525"/>
      <c r="F64" s="525"/>
      <c r="G64" s="525"/>
      <c r="H64" s="102"/>
      <c r="I64" s="324"/>
      <c r="J64" s="324"/>
      <c r="K64" s="324"/>
      <c r="L64" s="324"/>
      <c r="M64" s="324"/>
      <c r="N64" s="201"/>
      <c r="O64" s="325"/>
      <c r="P64" s="325"/>
      <c r="Q64" s="325"/>
      <c r="R64" s="325"/>
      <c r="S64" s="325"/>
      <c r="T64" s="325"/>
      <c r="U64" s="325"/>
      <c r="V64" s="325"/>
      <c r="W64" s="325"/>
      <c r="X64" s="325"/>
      <c r="Y64" s="325"/>
      <c r="Z64" s="325"/>
      <c r="AA64" s="325"/>
      <c r="AB64" s="179"/>
      <c r="AC64" s="179"/>
      <c r="AD64" s="179"/>
    </row>
    <row r="65" spans="1:8" ht="25.5" customHeight="1" thickBot="1">
      <c r="A65" s="91"/>
      <c r="B65" s="641" t="s">
        <v>2501</v>
      </c>
      <c r="C65" s="641"/>
      <c r="D65" s="544" t="s">
        <v>18</v>
      </c>
      <c r="E65" s="545">
        <f>+(E56-D60)*0.9323</f>
        <v>0</v>
      </c>
      <c r="F65" s="544" t="s">
        <v>18</v>
      </c>
      <c r="G65" s="546">
        <f>+(G56-F60)*0.9323</f>
        <v>0</v>
      </c>
      <c r="H65" s="102"/>
    </row>
    <row r="66" spans="1:8" ht="14.25" customHeight="1" thickBot="1">
      <c r="A66" s="91"/>
      <c r="B66" s="525"/>
      <c r="C66" s="525"/>
      <c r="D66" s="525"/>
      <c r="E66" s="525"/>
      <c r="F66" s="525"/>
      <c r="G66" s="525"/>
      <c r="H66" s="102"/>
    </row>
    <row r="67" spans="1:7" ht="25.5" customHeight="1" thickBot="1">
      <c r="A67" s="91"/>
      <c r="B67" s="649" t="s">
        <v>2511</v>
      </c>
      <c r="C67" s="650"/>
      <c r="D67" s="530" t="s">
        <v>18</v>
      </c>
      <c r="E67" s="531">
        <f>+((E65/0.9323)-E65)</f>
        <v>0</v>
      </c>
      <c r="F67" s="530" t="s">
        <v>18</v>
      </c>
      <c r="G67" s="532">
        <f>+((G65/0.9323)-G65)</f>
        <v>0</v>
      </c>
    </row>
    <row r="68" spans="1:7" ht="14.25" customHeight="1" thickBot="1">
      <c r="A68" s="91"/>
      <c r="B68" s="526"/>
      <c r="C68" s="526"/>
      <c r="D68" s="526"/>
      <c r="E68" s="526"/>
      <c r="F68" s="526"/>
      <c r="G68" s="526"/>
    </row>
    <row r="69" spans="1:7" ht="25.5" customHeight="1" thickBot="1">
      <c r="A69" s="91"/>
      <c r="B69" s="651" t="s">
        <v>2512</v>
      </c>
      <c r="C69" s="652"/>
      <c r="D69" s="527">
        <f>+$E$13</f>
        <v>2021</v>
      </c>
      <c r="E69" s="528">
        <f>+E63-E65</f>
        <v>0</v>
      </c>
      <c r="F69" s="527">
        <f>+$E$14</f>
        <v>2027</v>
      </c>
      <c r="G69" s="529">
        <f>+G63-G65</f>
        <v>0</v>
      </c>
    </row>
    <row r="70" spans="2:7" ht="14.25" customHeight="1">
      <c r="B70" s="498"/>
      <c r="C70" s="498"/>
      <c r="D70" s="498"/>
      <c r="E70" s="498"/>
      <c r="F70" s="498"/>
      <c r="G70" s="498"/>
    </row>
    <row r="71" ht="14.25" customHeight="1"/>
    <row r="72" spans="1:8" ht="30.75" customHeight="1">
      <c r="A72" s="648" t="s">
        <v>341</v>
      </c>
      <c r="B72" s="648"/>
      <c r="C72" s="648"/>
      <c r="D72" s="648"/>
      <c r="E72" s="648"/>
      <c r="F72" s="648"/>
      <c r="G72" s="648"/>
      <c r="H72" s="648"/>
    </row>
    <row r="73" spans="1:8" ht="30.75" customHeight="1">
      <c r="A73" s="327">
        <v>1</v>
      </c>
      <c r="B73" s="640">
        <f>IF(Assumptions!C88="","",Assumptions!C88)</f>
      </c>
      <c r="C73" s="640"/>
      <c r="D73" s="327">
        <v>8</v>
      </c>
      <c r="E73" s="419">
        <f>IF(Assumptions!Q88="","",Assumptions!Q88)</f>
      </c>
      <c r="F73" s="419"/>
      <c r="G73" s="419"/>
      <c r="H73" s="419"/>
    </row>
    <row r="74" spans="1:8" ht="30.75" customHeight="1">
      <c r="A74" s="327">
        <v>2</v>
      </c>
      <c r="B74" s="645">
        <f>IF(Assumptions!C89="","",Assumptions!C89)</f>
      </c>
      <c r="C74" s="645"/>
      <c r="D74" s="327">
        <v>9</v>
      </c>
      <c r="E74" s="420">
        <f>IF(Assumptions!Q89="","",Assumptions!Q89)</f>
      </c>
      <c r="F74" s="420"/>
      <c r="G74" s="420"/>
      <c r="H74" s="420"/>
    </row>
    <row r="75" spans="1:8" ht="30.75" customHeight="1">
      <c r="A75" s="327">
        <v>3</v>
      </c>
      <c r="B75" s="645">
        <f>IF(Assumptions!C90="","",Assumptions!C90)</f>
      </c>
      <c r="C75" s="645"/>
      <c r="D75" s="327">
        <v>10</v>
      </c>
      <c r="E75" s="420">
        <f>IF(Assumptions!Q90="","",Assumptions!Q90)</f>
      </c>
      <c r="F75" s="420"/>
      <c r="G75" s="420"/>
      <c r="H75" s="420"/>
    </row>
    <row r="76" spans="1:8" ht="30.75" customHeight="1">
      <c r="A76" s="327">
        <v>4</v>
      </c>
      <c r="B76" s="640">
        <f>IF(Assumptions!C91="","",Assumptions!C91)</f>
      </c>
      <c r="C76" s="640"/>
      <c r="D76" s="327">
        <v>11</v>
      </c>
      <c r="E76" s="420">
        <f>IF(Assumptions!Q91="","",Assumptions!Q91)</f>
      </c>
      <c r="F76" s="420"/>
      <c r="G76" s="420"/>
      <c r="H76" s="420"/>
    </row>
    <row r="77" spans="1:8" ht="30.75" customHeight="1">
      <c r="A77" s="327">
        <v>5</v>
      </c>
      <c r="B77" s="640">
        <f>IF(Assumptions!C92="","",Assumptions!C92)</f>
      </c>
      <c r="C77" s="640"/>
      <c r="D77" s="327">
        <v>12</v>
      </c>
      <c r="E77" s="420">
        <f>IF(Assumptions!Q92="","",Assumptions!Q92)</f>
      </c>
      <c r="F77" s="420"/>
      <c r="G77" s="420"/>
      <c r="H77" s="420"/>
    </row>
    <row r="78" spans="1:8" ht="30.75" customHeight="1">
      <c r="A78" s="327">
        <v>6</v>
      </c>
      <c r="B78" s="640">
        <f>IF(Assumptions!C93="","",Assumptions!C93)</f>
      </c>
      <c r="C78" s="640"/>
      <c r="D78" s="327">
        <v>13</v>
      </c>
      <c r="E78" s="420">
        <f>IF(Assumptions!Q93="","",Assumptions!Q93)</f>
      </c>
      <c r="F78" s="420"/>
      <c r="G78" s="420"/>
      <c r="H78" s="420"/>
    </row>
    <row r="79" spans="1:8" ht="30.75" customHeight="1">
      <c r="A79" s="327">
        <v>7</v>
      </c>
      <c r="B79" s="640">
        <f>IF(Assumptions!C94="","",Assumptions!C94)</f>
      </c>
      <c r="C79" s="640"/>
      <c r="D79" s="327">
        <v>14</v>
      </c>
      <c r="E79" s="420">
        <f>IF(Assumptions!Q94="","",Assumptions!Q94)</f>
      </c>
      <c r="F79" s="420"/>
      <c r="G79" s="420"/>
      <c r="H79" s="420"/>
    </row>
  </sheetData>
  <sheetProtection/>
  <mergeCells count="34">
    <mergeCell ref="I10:K12"/>
    <mergeCell ref="B2:E2"/>
    <mergeCell ref="F2:G2"/>
    <mergeCell ref="B44:C44"/>
    <mergeCell ref="B43:C43"/>
    <mergeCell ref="B45:C45"/>
    <mergeCell ref="F43:G45"/>
    <mergeCell ref="B4:H4"/>
    <mergeCell ref="C8:H8"/>
    <mergeCell ref="H13:H15"/>
    <mergeCell ref="B10:F10"/>
    <mergeCell ref="C30:F30"/>
    <mergeCell ref="B40:F40"/>
    <mergeCell ref="G39:G40"/>
    <mergeCell ref="B60:C60"/>
    <mergeCell ref="D60:E60"/>
    <mergeCell ref="F60:G60"/>
    <mergeCell ref="A72:H72"/>
    <mergeCell ref="B67:C67"/>
    <mergeCell ref="B69:C69"/>
    <mergeCell ref="H39:H40"/>
    <mergeCell ref="D42:E42"/>
    <mergeCell ref="F42:G42"/>
    <mergeCell ref="B58:C58"/>
    <mergeCell ref="B79:C79"/>
    <mergeCell ref="B65:C65"/>
    <mergeCell ref="B73:C73"/>
    <mergeCell ref="B61:G61"/>
    <mergeCell ref="B78:C78"/>
    <mergeCell ref="B76:C76"/>
    <mergeCell ref="B75:C75"/>
    <mergeCell ref="B77:C77"/>
    <mergeCell ref="B74:C74"/>
    <mergeCell ref="B63:C63"/>
  </mergeCells>
  <dataValidations count="2">
    <dataValidation type="list" showInputMessage="1" showErrorMessage="1" promptTitle="Jurisdiction" prompt="Who owns the road?" errorTitle="Owner" error="Enter who owns the road" sqref="G10">
      <formula1>Ownership</formula1>
    </dataValidation>
    <dataValidation type="list" allowBlank="1" showInputMessage="1" showErrorMessage="1" promptTitle="Funding Source" errorTitle="Funding Type" error="Please Select Funding Type" sqref="H2:H3">
      <formula1>Funding</formula1>
    </dataValidation>
  </dataValidations>
  <hyperlinks>
    <hyperlink ref="G25" location="'PI-Roadway-Drainage'!A1" display="'PI-Roadway-Drainage'!A1"/>
    <hyperlink ref="G27" location="Structures!A1" display="Structures!A1"/>
    <hyperlink ref="G28" location="Environmental!A1" display="Environmental!A1"/>
    <hyperlink ref="B37" location="'Util-RW-Inc'!A1" display="Utilities"/>
    <hyperlink ref="B38" location="'Util-RW-Inc'!A1" display="Incentives"/>
    <hyperlink ref="G37" location="'Util-RW-Inc'!A1" display="'Util-RW-Inc'!A1"/>
    <hyperlink ref="G38" location="'Util-RW-Inc'!A1" display="'Util-RW-Inc'!A1"/>
    <hyperlink ref="B36" location="'Util-RW-Inc'!A1" display="Right of Way Urban/Suburban Residential"/>
    <hyperlink ref="G36" location="'Util-RW-Inc'!A1" display="'Util-RW-Inc'!A1"/>
    <hyperlink ref="B25" location="'PI-Roadway-Drainage'!A1" display="Roadway and Drainage"/>
    <hyperlink ref="B26" location="'Traffic-Safety-ITS'!A1" display="Traffic and Safety"/>
    <hyperlink ref="B27" location="Structures!A1" display="Sttructures"/>
    <hyperlink ref="B28" location="Environmental!A1" display="Environmental Mitigation"/>
    <hyperlink ref="B24" location="'PI-Roadway-Drainage'!A1" display="Pulic Information Services"/>
    <hyperlink ref="G24" location="'PI-Roadway-Drainage'!A1" display="'PI-Roadway-Drainage'!A1"/>
    <hyperlink ref="G26" location="'Traffic-Safety-ITS'!A1" display="'Traffic-Safety-ITS'!A1"/>
    <hyperlink ref="G29" location="'Traffic-Safety-ITS'!A1" display="'Traffic-Safety-ITS'!A1"/>
    <hyperlink ref="B29" location="'Traffic-Safety-ITS'!F33" display="ITS"/>
    <hyperlink ref="E15" location="Inflation!A1" display="Inflation!A1"/>
  </hyperlinks>
  <printOptions horizontalCentered="1"/>
  <pageMargins left="0.45" right="0.45" top="0.45" bottom="0.45" header="0" footer="0.25"/>
  <pageSetup fitToHeight="1" fitToWidth="1" horizontalDpi="600" verticalDpi="600" orientation="portrait" scale="64" r:id="rId3"/>
  <headerFooter scaleWithDoc="0">
    <oddFooter>&amp;L&amp;D&amp;RConcept Level Est Form 
Rev. 10/10/2019</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2:AE39"/>
  <sheetViews>
    <sheetView zoomScale="96" zoomScaleNormal="96" zoomScalePageLayoutView="55" workbookViewId="0" topLeftCell="A1">
      <selection activeCell="F7" sqref="F7"/>
    </sheetView>
  </sheetViews>
  <sheetFormatPr defaultColWidth="9.140625" defaultRowHeight="12.75"/>
  <cols>
    <col min="1" max="1" width="3.140625" style="93" customWidth="1"/>
    <col min="2" max="3" width="9.140625" style="93" customWidth="1"/>
    <col min="4" max="4" width="14.7109375" style="93" customWidth="1"/>
    <col min="5" max="5" width="13.8515625" style="93" customWidth="1"/>
    <col min="6" max="16384" width="9.140625" style="93" customWidth="1"/>
  </cols>
  <sheetData>
    <row r="1" ht="12.75"/>
    <row r="2" spans="1:26" ht="25.5">
      <c r="A2" s="695" t="s">
        <v>154</v>
      </c>
      <c r="B2" s="695"/>
      <c r="C2" s="695"/>
      <c r="D2" s="695"/>
      <c r="E2" s="695"/>
      <c r="F2" s="695"/>
      <c r="G2" s="695"/>
      <c r="H2" s="695"/>
      <c r="I2" s="386"/>
      <c r="J2" s="108"/>
      <c r="K2" s="11" t="s">
        <v>135</v>
      </c>
      <c r="L2" s="386"/>
      <c r="M2" s="386"/>
      <c r="N2" s="386"/>
      <c r="O2" s="386"/>
      <c r="P2" s="386"/>
      <c r="Q2" s="386"/>
      <c r="U2" s="109"/>
      <c r="V2" s="109"/>
      <c r="W2" s="109"/>
      <c r="X2" s="109"/>
      <c r="Y2" s="109"/>
      <c r="Z2" s="109"/>
    </row>
    <row r="3" spans="1:31" ht="15">
      <c r="A3" s="696" t="str">
        <f>'[1]Main'!B2</f>
        <v>PIN:     PROJECT #      PROJECT NAME: </v>
      </c>
      <c r="B3" s="696"/>
      <c r="C3" s="696"/>
      <c r="D3" s="696"/>
      <c r="E3" s="696"/>
      <c r="F3" s="696"/>
      <c r="G3" s="696"/>
      <c r="H3" s="696"/>
      <c r="I3" s="387"/>
      <c r="J3" s="387"/>
      <c r="K3" s="387"/>
      <c r="L3" s="387"/>
      <c r="M3" s="387"/>
      <c r="N3" s="387"/>
      <c r="O3" s="387"/>
      <c r="P3" s="387"/>
      <c r="Q3" s="387"/>
      <c r="R3" s="387"/>
      <c r="S3" s="387"/>
      <c r="T3" s="387"/>
      <c r="U3" s="387"/>
      <c r="V3" s="387"/>
      <c r="W3" s="387"/>
      <c r="X3" s="387"/>
      <c r="Y3" s="387"/>
      <c r="Z3" s="387"/>
      <c r="AA3" s="387"/>
      <c r="AB3" s="387"/>
      <c r="AC3" s="387"/>
      <c r="AD3" s="387"/>
      <c r="AE3" s="94"/>
    </row>
    <row r="4" spans="2:26" ht="25.5">
      <c r="B4" s="110"/>
      <c r="H4" s="110"/>
      <c r="O4" s="110"/>
      <c r="V4" s="109"/>
      <c r="W4" s="109"/>
      <c r="X4" s="109"/>
      <c r="Y4" s="109"/>
      <c r="Z4" s="109"/>
    </row>
    <row r="5" spans="2:26" ht="39" customHeight="1">
      <c r="B5" s="7" t="s">
        <v>155</v>
      </c>
      <c r="C5" s="7" t="s">
        <v>156</v>
      </c>
      <c r="D5" s="8" t="s">
        <v>158</v>
      </c>
      <c r="E5" s="8" t="s">
        <v>157</v>
      </c>
      <c r="I5" s="109"/>
      <c r="J5" s="109"/>
      <c r="K5" s="109"/>
      <c r="L5" s="109"/>
      <c r="M5" s="109"/>
      <c r="N5" s="109"/>
      <c r="O5" s="109"/>
      <c r="P5" s="109"/>
      <c r="Q5" s="109"/>
      <c r="R5" s="109"/>
      <c r="S5" s="109"/>
      <c r="T5" s="109"/>
      <c r="U5" s="109"/>
      <c r="V5" s="109"/>
      <c r="W5" s="109"/>
      <c r="X5" s="109"/>
      <c r="Y5" s="109"/>
      <c r="Z5" s="109"/>
    </row>
    <row r="6" spans="2:5" ht="12.75">
      <c r="B6" s="1">
        <v>2019</v>
      </c>
      <c r="C6" s="37">
        <v>0.065</v>
      </c>
      <c r="D6" s="111">
        <v>0</v>
      </c>
      <c r="E6" s="112">
        <v>1</v>
      </c>
    </row>
    <row r="7" spans="2:7" ht="12.75">
      <c r="B7" s="1">
        <v>2020</v>
      </c>
      <c r="C7" s="37">
        <v>0.055</v>
      </c>
      <c r="D7" s="111">
        <v>0.055</v>
      </c>
      <c r="E7" s="112">
        <f>(1+C7)*E6</f>
        <v>1.055</v>
      </c>
      <c r="G7" s="107"/>
    </row>
    <row r="8" spans="2:5" ht="12.75">
      <c r="B8" s="1">
        <v>2021</v>
      </c>
      <c r="C8" s="37">
        <v>0.045</v>
      </c>
      <c r="D8" s="111">
        <v>0.045</v>
      </c>
      <c r="E8" s="112">
        <f>(1+C8)*E7</f>
        <v>1.1024749999999999</v>
      </c>
    </row>
    <row r="9" spans="2:5" ht="12.75">
      <c r="B9" s="1">
        <v>2022</v>
      </c>
      <c r="C9" s="37">
        <v>0.04</v>
      </c>
      <c r="D9" s="111">
        <v>0.04</v>
      </c>
      <c r="E9" s="112">
        <f aca="true" t="shared" si="0" ref="E9:E35">(1+C9)*E8</f>
        <v>1.146574</v>
      </c>
    </row>
    <row r="10" spans="2:5" ht="12.75" customHeight="1">
      <c r="B10" s="1">
        <v>2023</v>
      </c>
      <c r="C10" s="37">
        <v>0.035</v>
      </c>
      <c r="D10" s="111">
        <v>0.035</v>
      </c>
      <c r="E10" s="112">
        <f t="shared" si="0"/>
        <v>1.1867040899999999</v>
      </c>
    </row>
    <row r="11" spans="2:5" ht="12.75">
      <c r="B11" s="1">
        <v>2024</v>
      </c>
      <c r="C11" s="37">
        <v>0.035</v>
      </c>
      <c r="D11" s="111">
        <v>0.035</v>
      </c>
      <c r="E11" s="112">
        <f t="shared" si="0"/>
        <v>1.2282387331499998</v>
      </c>
    </row>
    <row r="12" spans="2:5" ht="12.75">
      <c r="B12" s="1">
        <v>2025</v>
      </c>
      <c r="C12" s="37">
        <v>0.035</v>
      </c>
      <c r="D12" s="111">
        <v>0.035</v>
      </c>
      <c r="E12" s="112">
        <f t="shared" si="0"/>
        <v>1.2712270888102497</v>
      </c>
    </row>
    <row r="13" spans="2:5" ht="12.75">
      <c r="B13" s="1">
        <v>2026</v>
      </c>
      <c r="C13" s="37">
        <v>0.035</v>
      </c>
      <c r="D13" s="111">
        <v>0.035</v>
      </c>
      <c r="E13" s="112">
        <f t="shared" si="0"/>
        <v>1.3157200369186084</v>
      </c>
    </row>
    <row r="14" spans="2:5" ht="12.75">
      <c r="B14" s="1">
        <v>2027</v>
      </c>
      <c r="C14" s="37">
        <v>0.035</v>
      </c>
      <c r="D14" s="111">
        <v>0.035</v>
      </c>
      <c r="E14" s="112">
        <f t="shared" si="0"/>
        <v>1.3617702382107595</v>
      </c>
    </row>
    <row r="15" spans="2:5" ht="12.75">
      <c r="B15" s="1">
        <v>2028</v>
      </c>
      <c r="C15" s="37">
        <v>0.035</v>
      </c>
      <c r="D15" s="111">
        <v>0.035</v>
      </c>
      <c r="E15" s="112">
        <f t="shared" si="0"/>
        <v>1.409432196548136</v>
      </c>
    </row>
    <row r="16" spans="2:5" ht="12.75">
      <c r="B16" s="1">
        <v>2029</v>
      </c>
      <c r="C16" s="37">
        <v>0.035</v>
      </c>
      <c r="D16" s="111">
        <v>0.035</v>
      </c>
      <c r="E16" s="112">
        <f t="shared" si="0"/>
        <v>1.4587623234273206</v>
      </c>
    </row>
    <row r="17" spans="2:5" ht="12.75">
      <c r="B17" s="1">
        <v>2030</v>
      </c>
      <c r="C17" s="37">
        <v>0.035</v>
      </c>
      <c r="D17" s="111">
        <v>0.035</v>
      </c>
      <c r="E17" s="112">
        <f t="shared" si="0"/>
        <v>1.5098190047472766</v>
      </c>
    </row>
    <row r="18" spans="2:5" ht="12.75">
      <c r="B18" s="1">
        <v>2031</v>
      </c>
      <c r="C18" s="37">
        <v>0.035</v>
      </c>
      <c r="D18" s="111">
        <v>0.035</v>
      </c>
      <c r="E18" s="112">
        <f t="shared" si="0"/>
        <v>1.5626626699134312</v>
      </c>
    </row>
    <row r="19" spans="2:5" ht="12.75">
      <c r="B19" s="1">
        <v>2032</v>
      </c>
      <c r="C19" s="37">
        <v>0.035</v>
      </c>
      <c r="D19" s="111">
        <v>0.035</v>
      </c>
      <c r="E19" s="112">
        <f t="shared" si="0"/>
        <v>1.617355863360401</v>
      </c>
    </row>
    <row r="20" spans="2:5" ht="12.75">
      <c r="B20" s="1">
        <v>2033</v>
      </c>
      <c r="C20" s="37">
        <v>0.035</v>
      </c>
      <c r="D20" s="111">
        <v>0.035</v>
      </c>
      <c r="E20" s="112">
        <f t="shared" si="0"/>
        <v>1.673963318578015</v>
      </c>
    </row>
    <row r="21" spans="2:5" ht="12.75">
      <c r="B21" s="1">
        <v>2034</v>
      </c>
      <c r="C21" s="37">
        <v>0.035</v>
      </c>
      <c r="D21" s="111">
        <v>0.035</v>
      </c>
      <c r="E21" s="112">
        <f t="shared" si="0"/>
        <v>1.7325520347282453</v>
      </c>
    </row>
    <row r="22" spans="2:5" ht="12.75">
      <c r="B22" s="1">
        <v>2035</v>
      </c>
      <c r="C22" s="37">
        <v>0.035</v>
      </c>
      <c r="D22" s="111">
        <v>0.035</v>
      </c>
      <c r="E22" s="112">
        <f t="shared" si="0"/>
        <v>1.7931913559437338</v>
      </c>
    </row>
    <row r="23" spans="2:5" ht="12.75">
      <c r="B23" s="1">
        <v>2036</v>
      </c>
      <c r="C23" s="37">
        <v>0.035</v>
      </c>
      <c r="D23" s="111">
        <v>0.035</v>
      </c>
      <c r="E23" s="112">
        <f t="shared" si="0"/>
        <v>1.8559530534017643</v>
      </c>
    </row>
    <row r="24" spans="2:5" ht="12.75">
      <c r="B24" s="1">
        <v>2037</v>
      </c>
      <c r="C24" s="37">
        <v>0.035</v>
      </c>
      <c r="D24" s="111">
        <v>0.035</v>
      </c>
      <c r="E24" s="112">
        <f t="shared" si="0"/>
        <v>1.920911410270826</v>
      </c>
    </row>
    <row r="25" spans="2:5" ht="12.75">
      <c r="B25" s="1">
        <v>2038</v>
      </c>
      <c r="C25" s="37">
        <v>0.035</v>
      </c>
      <c r="D25" s="111">
        <v>0.035</v>
      </c>
      <c r="E25" s="112">
        <f t="shared" si="0"/>
        <v>1.9881433096303047</v>
      </c>
    </row>
    <row r="26" spans="2:5" ht="12.75">
      <c r="B26" s="1">
        <v>2039</v>
      </c>
      <c r="C26" s="37">
        <v>0.035</v>
      </c>
      <c r="D26" s="111">
        <v>0.035</v>
      </c>
      <c r="E26" s="112">
        <f t="shared" si="0"/>
        <v>2.057728325467365</v>
      </c>
    </row>
    <row r="27" spans="2:5" ht="12.75">
      <c r="B27" s="1">
        <v>2040</v>
      </c>
      <c r="C27" s="37">
        <v>0.035</v>
      </c>
      <c r="D27" s="111">
        <v>0.035</v>
      </c>
      <c r="E27" s="112">
        <f t="shared" si="0"/>
        <v>2.1297488168587226</v>
      </c>
    </row>
    <row r="28" spans="2:5" ht="12.75">
      <c r="B28" s="1">
        <v>2041</v>
      </c>
      <c r="C28" s="37">
        <v>0.035</v>
      </c>
      <c r="D28" s="111">
        <v>0.035</v>
      </c>
      <c r="E28" s="112">
        <f t="shared" si="0"/>
        <v>2.2042900254487776</v>
      </c>
    </row>
    <row r="29" spans="2:5" ht="12.75">
      <c r="B29" s="1">
        <v>2042</v>
      </c>
      <c r="C29" s="37">
        <v>0.035</v>
      </c>
      <c r="D29" s="111">
        <v>0.035</v>
      </c>
      <c r="E29" s="112">
        <f t="shared" si="0"/>
        <v>2.2814401763394847</v>
      </c>
    </row>
    <row r="30" spans="2:5" ht="12.75">
      <c r="B30" s="1">
        <v>2043</v>
      </c>
      <c r="C30" s="37">
        <v>0.035</v>
      </c>
      <c r="D30" s="111">
        <v>0.035</v>
      </c>
      <c r="E30" s="112">
        <f t="shared" si="0"/>
        <v>2.3612905825113666</v>
      </c>
    </row>
    <row r="31" spans="2:5" ht="12.75">
      <c r="B31" s="1">
        <v>2044</v>
      </c>
      <c r="C31" s="37">
        <v>0.035</v>
      </c>
      <c r="D31" s="111">
        <v>0.035</v>
      </c>
      <c r="E31" s="112">
        <f t="shared" si="0"/>
        <v>2.443935752899264</v>
      </c>
    </row>
    <row r="32" spans="2:5" ht="12.75">
      <c r="B32" s="1">
        <v>2045</v>
      </c>
      <c r="C32" s="37">
        <v>0.035</v>
      </c>
      <c r="D32" s="111">
        <v>0.035</v>
      </c>
      <c r="E32" s="112">
        <f t="shared" si="0"/>
        <v>2.529473504250738</v>
      </c>
    </row>
    <row r="33" spans="2:5" ht="12.75">
      <c r="B33" s="1">
        <v>2046</v>
      </c>
      <c r="C33" s="37">
        <v>0.035</v>
      </c>
      <c r="D33" s="111">
        <v>0.035</v>
      </c>
      <c r="E33" s="112">
        <f t="shared" si="0"/>
        <v>2.6180050768995136</v>
      </c>
    </row>
    <row r="34" spans="2:5" ht="12.75">
      <c r="B34" s="1">
        <v>2047</v>
      </c>
      <c r="C34" s="37">
        <v>0.035</v>
      </c>
      <c r="D34" s="111">
        <v>0.035</v>
      </c>
      <c r="E34" s="112">
        <f t="shared" si="0"/>
        <v>2.7096352545909963</v>
      </c>
    </row>
    <row r="35" spans="2:5" ht="12.75">
      <c r="B35" s="1">
        <v>2048</v>
      </c>
      <c r="C35" s="37">
        <v>0.035</v>
      </c>
      <c r="D35" s="111">
        <v>0.035</v>
      </c>
      <c r="E35" s="112">
        <f t="shared" si="0"/>
        <v>2.804472488501681</v>
      </c>
    </row>
    <row r="36" ht="12.75"/>
    <row r="37" ht="12.75">
      <c r="B37" s="113" t="s">
        <v>2454</v>
      </c>
    </row>
    <row r="38" ht="12.75"/>
    <row r="39" ht="12.75">
      <c r="B39" s="107" t="s">
        <v>191</v>
      </c>
    </row>
    <row r="40" ht="12.75"/>
    <row r="41" ht="12.75"/>
    <row r="42" ht="12.75"/>
    <row r="43" ht="12.75"/>
    <row r="44" ht="12.75"/>
    <row r="45" ht="12.75"/>
    <row r="46" ht="12.75"/>
    <row r="47" ht="12.75"/>
    <row r="48" ht="12.75"/>
    <row r="49" ht="12.75"/>
    <row r="50" ht="12.75"/>
    <row r="51" ht="12.75"/>
    <row r="52" ht="12.75"/>
  </sheetData>
  <sheetProtection/>
  <mergeCells count="2">
    <mergeCell ref="A2:H2"/>
    <mergeCell ref="A3:H3"/>
  </mergeCells>
  <printOptions horizontalCentered="1"/>
  <pageMargins left="0.25" right="0.25" top="0.75" bottom="0.75" header="0.3" footer="0.3"/>
  <pageSetup blackAndWhite="1" horizontalDpi="600" verticalDpi="600" orientation="portrait" scale="78" r:id="rId4"/>
  <headerFooter alignWithMargins="0">
    <oddFooter>&amp;L&amp;D&amp;CPage &amp;P of &amp;N&amp;RConcept Level Est Form 
Rev. 7/31/2013</oddFooter>
  </headerFooter>
  <legacyDrawing r:id="rId3"/>
  <oleObjects>
    <oleObject progId="Acrobat.Document.2017" shapeId="37590501" r:id="rId2"/>
  </oleObjects>
</worksheet>
</file>

<file path=xl/worksheets/sheet4.xml><?xml version="1.0" encoding="utf-8"?>
<worksheet xmlns="http://schemas.openxmlformats.org/spreadsheetml/2006/main" xmlns:r="http://schemas.openxmlformats.org/officeDocument/2006/relationships">
  <sheetPr codeName="Sheet5">
    <pageSetUpPr fitToPage="1"/>
  </sheetPr>
  <dimension ref="B1:AE57"/>
  <sheetViews>
    <sheetView zoomScalePageLayoutView="55" workbookViewId="0" topLeftCell="A1">
      <selection activeCell="L24" sqref="L24"/>
    </sheetView>
  </sheetViews>
  <sheetFormatPr defaultColWidth="9.140625" defaultRowHeight="12.75"/>
  <cols>
    <col min="1" max="1" width="9.140625" style="93" customWidth="1"/>
    <col min="2" max="2" width="17.8515625" style="93" bestFit="1" customWidth="1"/>
    <col min="3" max="3" width="43.8515625" style="93" bestFit="1" customWidth="1"/>
    <col min="4" max="4" width="10.421875" style="93" bestFit="1" customWidth="1"/>
    <col min="5" max="5" width="8.00390625" style="93" bestFit="1" customWidth="1"/>
    <col min="6" max="6" width="13.421875" style="93" bestFit="1" customWidth="1"/>
    <col min="7" max="7" width="15.00390625" style="93" customWidth="1"/>
    <col min="8" max="8" width="26.7109375" style="93" customWidth="1"/>
    <col min="9" max="9" width="13.7109375" style="93" customWidth="1"/>
    <col min="10" max="16384" width="9.140625" style="93" customWidth="1"/>
  </cols>
  <sheetData>
    <row r="1" spans="9:11" ht="12.75">
      <c r="I1" s="675" t="s">
        <v>2524</v>
      </c>
      <c r="J1" s="675"/>
      <c r="K1" s="675"/>
    </row>
    <row r="2" spans="2:11" ht="25.5">
      <c r="B2" s="695" t="s">
        <v>106</v>
      </c>
      <c r="C2" s="695"/>
      <c r="D2" s="695"/>
      <c r="E2" s="695"/>
      <c r="F2" s="695"/>
      <c r="G2" s="695"/>
      <c r="H2" s="695"/>
      <c r="I2" s="675"/>
      <c r="J2" s="675"/>
      <c r="K2" s="675"/>
    </row>
    <row r="3" spans="2:31" ht="15.75" customHeight="1" thickBot="1">
      <c r="B3" s="696" t="str">
        <f>Main!B2</f>
        <v>PROJECT NAME:  </v>
      </c>
      <c r="C3" s="696"/>
      <c r="D3" s="696"/>
      <c r="E3" s="696"/>
      <c r="F3" s="696"/>
      <c r="G3" s="696"/>
      <c r="H3" s="696"/>
      <c r="I3" s="675"/>
      <c r="J3" s="675"/>
      <c r="K3" s="675"/>
      <c r="L3" s="387"/>
      <c r="M3" s="387"/>
      <c r="N3" s="387"/>
      <c r="O3" s="387"/>
      <c r="P3" s="387"/>
      <c r="Q3" s="387"/>
      <c r="R3" s="387"/>
      <c r="S3" s="387"/>
      <c r="T3" s="387"/>
      <c r="U3" s="387"/>
      <c r="V3" s="387"/>
      <c r="W3" s="387"/>
      <c r="X3" s="387"/>
      <c r="Y3" s="387"/>
      <c r="Z3" s="387"/>
      <c r="AA3" s="387"/>
      <c r="AB3" s="387"/>
      <c r="AC3" s="387"/>
      <c r="AD3" s="387"/>
      <c r="AE3" s="94"/>
    </row>
    <row r="4" spans="2:12" ht="26.25" thickBot="1">
      <c r="B4" s="110"/>
      <c r="J4" s="697" t="s">
        <v>295</v>
      </c>
      <c r="K4" s="698"/>
      <c r="L4" s="699"/>
    </row>
    <row r="5" spans="2:8" ht="18.75" customHeight="1" thickBot="1" thickTop="1">
      <c r="B5" s="114" t="s">
        <v>14</v>
      </c>
      <c r="C5" s="115" t="s">
        <v>4</v>
      </c>
      <c r="D5" s="115" t="s">
        <v>5</v>
      </c>
      <c r="E5" s="115" t="s">
        <v>7</v>
      </c>
      <c r="F5" s="115" t="s">
        <v>6</v>
      </c>
      <c r="G5" s="115" t="s">
        <v>8</v>
      </c>
      <c r="H5" s="116" t="s">
        <v>9</v>
      </c>
    </row>
    <row r="6" spans="2:10" ht="15.75" customHeight="1">
      <c r="B6" s="308" t="s">
        <v>59</v>
      </c>
      <c r="C6" s="75"/>
      <c r="D6" s="138"/>
      <c r="E6" s="75"/>
      <c r="F6" s="161"/>
      <c r="G6" s="146"/>
      <c r="H6" s="76"/>
      <c r="I6" s="119"/>
      <c r="J6" s="119"/>
    </row>
    <row r="7" spans="2:10" ht="12.75" customHeight="1">
      <c r="B7" s="388" t="str">
        <f>VLOOKUP(C7,'Item List'!$A$2:$B$1105,2,FALSE)</f>
        <v>012850010</v>
      </c>
      <c r="C7" s="390" t="s">
        <v>3</v>
      </c>
      <c r="D7" s="79">
        <v>1</v>
      </c>
      <c r="E7" s="69" t="str">
        <f>VLOOKUP(B7,'Item List'!$B$2:$C$1105,2,FALSE)</f>
        <v>Lump</v>
      </c>
      <c r="F7" s="632"/>
      <c r="G7" s="163">
        <f aca="true" t="shared" si="0" ref="G7:G39">IF(OR(D7="",F7=""),"",F7*D7)</f>
      </c>
      <c r="H7" s="43" t="s">
        <v>152</v>
      </c>
      <c r="I7" s="119" t="e">
        <f>+G7/Main!G33</f>
        <v>#VALUE!</v>
      </c>
      <c r="J7" s="120" t="s">
        <v>2460</v>
      </c>
    </row>
    <row r="8" spans="2:10" ht="12.75" customHeight="1">
      <c r="B8" s="388" t="str">
        <f>VLOOKUP(C8,'Item List'!$A$2:$B$1105,2,FALSE)</f>
        <v>015540005</v>
      </c>
      <c r="C8" s="391" t="s">
        <v>0</v>
      </c>
      <c r="D8" s="79">
        <v>1</v>
      </c>
      <c r="E8" s="69" t="str">
        <f>VLOOKUP(B8,'Item List'!$B$2:$C$1105,2,FALSE)</f>
        <v>Lump</v>
      </c>
      <c r="F8" s="632"/>
      <c r="G8" s="163">
        <f t="shared" si="0"/>
      </c>
      <c r="H8" s="43" t="s">
        <v>153</v>
      </c>
      <c r="I8" s="119" t="e">
        <f>+G8/Main!G33</f>
        <v>#VALUE!</v>
      </c>
      <c r="J8" s="120" t="s">
        <v>2461</v>
      </c>
    </row>
    <row r="9" spans="2:10" ht="12.75" customHeight="1">
      <c r="B9" s="388" t="str">
        <f>VLOOKUP(C9,'Item List'!$A$2:$B$1105,2,FALSE)</f>
        <v>01557001*</v>
      </c>
      <c r="C9" s="390" t="s">
        <v>84</v>
      </c>
      <c r="D9" s="79">
        <v>1</v>
      </c>
      <c r="E9" s="69" t="str">
        <f>VLOOKUP(B9,'Item List'!$B$2:$C$1105,2,FALSE)</f>
        <v>Lump</v>
      </c>
      <c r="F9" s="632"/>
      <c r="G9" s="163">
        <f t="shared" si="0"/>
      </c>
      <c r="H9" s="43" t="s">
        <v>2455</v>
      </c>
      <c r="I9" s="119" t="e">
        <f>+G9/Main!G33</f>
        <v>#VALUE!</v>
      </c>
      <c r="J9" s="119">
        <v>0.01</v>
      </c>
    </row>
    <row r="10" spans="2:10" ht="12.75" customHeight="1">
      <c r="B10" s="388" t="str">
        <f>VLOOKUP(C10,'Item List'!$A$2:$B$1105,2,FALSE)</f>
        <v>015720020</v>
      </c>
      <c r="C10" s="391" t="s">
        <v>418</v>
      </c>
      <c r="D10" s="79">
        <f>Assumptions!Z48</f>
        <v>0</v>
      </c>
      <c r="E10" s="69" t="str">
        <f>VLOOKUP(B10,'Item List'!$B$2:$C$1105,2,FALSE)</f>
        <v>1000 gal</v>
      </c>
      <c r="F10" s="632"/>
      <c r="G10" s="163">
        <f t="shared" si="0"/>
      </c>
      <c r="H10" s="43"/>
      <c r="J10" s="121"/>
    </row>
    <row r="11" spans="2:8" ht="12.75" customHeight="1">
      <c r="B11" s="388" t="str">
        <f>VLOOKUP(C11,'Item List'!$A$2:$B$1105,2,FALSE)</f>
        <v>020560005</v>
      </c>
      <c r="C11" s="391" t="s">
        <v>86</v>
      </c>
      <c r="D11" s="79">
        <f>Assumptions!K55</f>
        <v>0</v>
      </c>
      <c r="E11" s="69" t="str">
        <f>VLOOKUP(B11,'Item List'!$B$2:$C$1105,2,FALSE)</f>
        <v>cu yd</v>
      </c>
      <c r="F11" s="632"/>
      <c r="G11" s="163">
        <f t="shared" si="0"/>
      </c>
      <c r="H11" s="43"/>
    </row>
    <row r="12" spans="2:8" ht="12.75" customHeight="1">
      <c r="B12" s="388" t="str">
        <f>VLOOKUP(C12,'Item List'!$A$2:$B$1105,2,FALSE)</f>
        <v>020560010</v>
      </c>
      <c r="C12" s="391" t="s">
        <v>37</v>
      </c>
      <c r="D12" s="79">
        <f>Assumptions!L55</f>
        <v>0</v>
      </c>
      <c r="E12" s="69" t="str">
        <f>VLOOKUP(B12,'Item List'!$B$2:$C$1105,2,FALSE)</f>
        <v>Ton</v>
      </c>
      <c r="F12" s="632"/>
      <c r="G12" s="163">
        <f t="shared" si="0"/>
      </c>
      <c r="H12" s="43"/>
    </row>
    <row r="13" spans="2:8" ht="12.75" customHeight="1">
      <c r="B13" s="388" t="str">
        <f>VLOOKUP(C13,'Item List'!$A$2:$B$1105,2,FALSE)</f>
        <v>020560015</v>
      </c>
      <c r="C13" s="391" t="s">
        <v>87</v>
      </c>
      <c r="D13" s="79">
        <f>Assumptions!J38</f>
        <v>0</v>
      </c>
      <c r="E13" s="69" t="str">
        <f>VLOOKUP(B13,'Item List'!$B$2:$C$1105,2,FALSE)</f>
        <v>cu yd</v>
      </c>
      <c r="F13" s="632"/>
      <c r="G13" s="163">
        <f t="shared" si="0"/>
      </c>
      <c r="H13" s="43"/>
    </row>
    <row r="14" spans="2:8" ht="12.75" customHeight="1">
      <c r="B14" s="388" t="str">
        <f>VLOOKUP(C14,'Item List'!$A$2:$B$1105,2,FALSE)</f>
        <v>020560020</v>
      </c>
      <c r="C14" s="390" t="s">
        <v>42</v>
      </c>
      <c r="D14" s="79">
        <f>Assumptions!K38</f>
        <v>0</v>
      </c>
      <c r="E14" s="69" t="str">
        <f>VLOOKUP(B14,'Item List'!$B$2:$C$1105,2,FALSE)</f>
        <v>Ton</v>
      </c>
      <c r="F14" s="632"/>
      <c r="G14" s="163"/>
      <c r="H14" s="44"/>
    </row>
    <row r="15" spans="2:8" ht="12.75" customHeight="1">
      <c r="B15" s="388" t="str">
        <f>VLOOKUP(C15,'Item List'!$A$2:$B$1105,2,FALSE)</f>
        <v>020560025</v>
      </c>
      <c r="C15" s="391" t="s">
        <v>88</v>
      </c>
      <c r="D15" s="79">
        <f>Assumptions!P55</f>
        <v>0</v>
      </c>
      <c r="E15" s="69" t="str">
        <f>VLOOKUP(B15,'Item List'!$B$2:$C$1105,2,FALSE)</f>
        <v>cu yd</v>
      </c>
      <c r="F15" s="632"/>
      <c r="G15" s="163">
        <f t="shared" si="0"/>
      </c>
      <c r="H15" s="44"/>
    </row>
    <row r="16" spans="2:8" ht="12.75" customHeight="1">
      <c r="B16" s="388" t="str">
        <f>VLOOKUP(C16,'Item List'!$A$2:$B$1105,2,FALSE)</f>
        <v>022210015</v>
      </c>
      <c r="C16" s="390" t="s">
        <v>95</v>
      </c>
      <c r="D16" s="632"/>
      <c r="E16" s="69" t="str">
        <f>VLOOKUP(B16,'Item List'!$B$2:$C$1105,2,FALSE)</f>
        <v>Each</v>
      </c>
      <c r="F16" s="632"/>
      <c r="G16" s="163">
        <f t="shared" si="0"/>
      </c>
      <c r="H16" s="44"/>
    </row>
    <row r="17" spans="2:8" ht="12.75" customHeight="1">
      <c r="B17" s="388" t="str">
        <f>VLOOKUP(C17,'Item List'!$A$2:$B$1105,2,FALSE)</f>
        <v>022210080</v>
      </c>
      <c r="C17" s="390" t="s">
        <v>52</v>
      </c>
      <c r="D17" s="632"/>
      <c r="E17" s="69" t="str">
        <f>VLOOKUP(B17,'Item List'!$B$2:$C$1105,2,FALSE)</f>
        <v>ft</v>
      </c>
      <c r="F17" s="632"/>
      <c r="G17" s="163">
        <f t="shared" si="0"/>
      </c>
      <c r="H17" s="44"/>
    </row>
    <row r="18" spans="2:8" ht="12.75" customHeight="1">
      <c r="B18" s="388" t="str">
        <f>VLOOKUP(C18,'Item List'!$A$2:$B$1105,2,FALSE)</f>
        <v>022210095</v>
      </c>
      <c r="C18" s="390" t="s">
        <v>49</v>
      </c>
      <c r="D18" s="632"/>
      <c r="E18" s="69" t="str">
        <f>VLOOKUP(B18,'Item List'!$B$2:$C$1105,2,FALSE)</f>
        <v>ft</v>
      </c>
      <c r="F18" s="632"/>
      <c r="G18" s="163">
        <f t="shared" si="0"/>
      </c>
      <c r="H18" s="44"/>
    </row>
    <row r="19" spans="2:8" ht="12.75" customHeight="1">
      <c r="B19" s="388" t="str">
        <f>VLOOKUP(C19,'Item List'!$A$2:$B$1105,2,FALSE)</f>
        <v>022310010</v>
      </c>
      <c r="C19" s="390" t="s">
        <v>43</v>
      </c>
      <c r="D19" s="632"/>
      <c r="E19" s="69" t="str">
        <f>VLOOKUP(B19,'Item List'!$B$2:$C$1105,2,FALSE)</f>
        <v>Lump</v>
      </c>
      <c r="F19" s="632"/>
      <c r="G19" s="163">
        <f t="shared" si="0"/>
      </c>
      <c r="H19" s="44"/>
    </row>
    <row r="20" spans="2:8" ht="12.75" customHeight="1">
      <c r="B20" s="388" t="str">
        <f>VLOOKUP(C20,'Item List'!$A$2:$B$1105,2,FALSE)</f>
        <v>023160020</v>
      </c>
      <c r="C20" s="390" t="s">
        <v>54</v>
      </c>
      <c r="D20" s="79">
        <f>Assumptions!G55</f>
        <v>0</v>
      </c>
      <c r="E20" s="69" t="str">
        <f>VLOOKUP(B20,'Item List'!$B$2:$C$1105,2,FALSE)</f>
        <v>cu yd</v>
      </c>
      <c r="F20" s="632"/>
      <c r="G20" s="163">
        <f t="shared" si="0"/>
      </c>
      <c r="H20" s="44"/>
    </row>
    <row r="21" spans="2:8" ht="12.75" customHeight="1">
      <c r="B21" s="388" t="str">
        <f>VLOOKUP(C21,'Item List'!$A$2:$B$1105,2,FALSE)</f>
        <v>027120010</v>
      </c>
      <c r="C21" s="390" t="s">
        <v>210</v>
      </c>
      <c r="D21" s="79">
        <f>Assumptions!AB38</f>
        <v>0</v>
      </c>
      <c r="E21" s="69" t="str">
        <f>VLOOKUP(B21,'Item List'!$B$2:$C$1105,2,FALSE)</f>
        <v>sq yd</v>
      </c>
      <c r="F21" s="632"/>
      <c r="G21" s="163">
        <f t="shared" si="0"/>
      </c>
      <c r="H21" s="44"/>
    </row>
    <row r="22" spans="2:8" ht="12.75" customHeight="1">
      <c r="B22" s="388" t="str">
        <f>VLOOKUP(C22,'Item List'!$A$2:$B$1105,2,FALSE)</f>
        <v>027210010</v>
      </c>
      <c r="C22" s="390" t="s">
        <v>163</v>
      </c>
      <c r="D22" s="79">
        <f>Assumptions!O38</f>
        <v>0</v>
      </c>
      <c r="E22" s="69" t="str">
        <f>VLOOKUP(B22,'Item List'!$B$2:$C$1105,2,FALSE)</f>
        <v>Ton</v>
      </c>
      <c r="F22" s="632"/>
      <c r="G22" s="163">
        <f t="shared" si="0"/>
      </c>
      <c r="H22" s="44"/>
    </row>
    <row r="23" spans="2:8" ht="12.75" customHeight="1">
      <c r="B23" s="388" t="str">
        <f>VLOOKUP(C23,'Item List'!$A$2:$B$1105,2,FALSE)</f>
        <v>027210020</v>
      </c>
      <c r="C23" s="390" t="s">
        <v>164</v>
      </c>
      <c r="D23" s="79">
        <f>Assumptions!N38</f>
        <v>0</v>
      </c>
      <c r="E23" s="69" t="str">
        <f>VLOOKUP(B23,'Item List'!$B$2:$C$1105,2,FALSE)</f>
        <v>cu yd</v>
      </c>
      <c r="F23" s="632"/>
      <c r="G23" s="163">
        <f t="shared" si="0"/>
      </c>
      <c r="H23" s="44"/>
    </row>
    <row r="24" spans="2:8" ht="12.75" customHeight="1">
      <c r="B24" s="388" t="str">
        <f>VLOOKUP(C24,'Item List'!$A$2:$B$1105,2,FALSE)</f>
        <v>027350010</v>
      </c>
      <c r="C24" s="390" t="s">
        <v>324</v>
      </c>
      <c r="D24" s="79">
        <f>Assumptions!Z38</f>
        <v>0</v>
      </c>
      <c r="E24" s="69" t="str">
        <f>VLOOKUP(B24,'Item List'!$B$2:$C$1105,2,FALSE)</f>
        <v>sq yd</v>
      </c>
      <c r="F24" s="632"/>
      <c r="G24" s="163">
        <f t="shared" si="0"/>
      </c>
      <c r="H24" s="44"/>
    </row>
    <row r="25" spans="2:8" ht="12.75" customHeight="1">
      <c r="B25" s="388" t="str">
        <f>VLOOKUP(C25,'Item List'!$A$2:$B$1105,2,FALSE)</f>
        <v>02737001*</v>
      </c>
      <c r="C25" s="390" t="s">
        <v>339</v>
      </c>
      <c r="D25" s="632"/>
      <c r="E25" s="69" t="str">
        <f>VLOOKUP(B25,'Item List'!$B$2:$C$1105,2,FALSE)</f>
        <v>sq yd</v>
      </c>
      <c r="F25" s="632"/>
      <c r="G25" s="163">
        <f t="shared" si="0"/>
      </c>
      <c r="H25" s="44"/>
    </row>
    <row r="26" spans="2:8" ht="12.75" customHeight="1">
      <c r="B26" s="388" t="str">
        <f>VLOOKUP(C26,'Item List'!$A$2:$B$1105,2,FALSE)</f>
        <v>02737002*</v>
      </c>
      <c r="C26" s="390" t="s">
        <v>340</v>
      </c>
      <c r="D26" s="632"/>
      <c r="E26" s="69" t="str">
        <f>VLOOKUP(B26,'Item List'!$B$2:$C$1105,2,FALSE)</f>
        <v>sq yd</v>
      </c>
      <c r="F26" s="632"/>
      <c r="G26" s="163">
        <f t="shared" si="0"/>
      </c>
      <c r="H26" s="44"/>
    </row>
    <row r="27" spans="2:8" ht="12.75" customHeight="1">
      <c r="B27" s="388" t="str">
        <f>VLOOKUP(C27,'Item List'!$A$2:$B$1105,2,FALSE)</f>
        <v>027410060</v>
      </c>
      <c r="C27" s="392" t="s">
        <v>2430</v>
      </c>
      <c r="D27" s="79">
        <f>Assumptions!S38</f>
        <v>0</v>
      </c>
      <c r="E27" s="69" t="str">
        <f>VLOOKUP(B27,'Item List'!$B$2:$C$1105,2,FALSE)</f>
        <v>Ton</v>
      </c>
      <c r="F27" s="632"/>
      <c r="G27" s="163">
        <f t="shared" si="0"/>
      </c>
      <c r="H27" s="44"/>
    </row>
    <row r="28" spans="2:8" ht="12.75" customHeight="1">
      <c r="B28" s="388" t="str">
        <f>VLOOKUP(C28,'Item List'!$A$2:$B$1105,2,FALSE)</f>
        <v>027480010</v>
      </c>
      <c r="C28" s="392" t="s">
        <v>53</v>
      </c>
      <c r="D28" s="79">
        <f>Assumptions!Q20</f>
        <v>0</v>
      </c>
      <c r="E28" s="69" t="str">
        <f>VLOOKUP(B28,'Item List'!$B$2:$C$1105,2,FALSE)</f>
        <v>Ton</v>
      </c>
      <c r="F28" s="632"/>
      <c r="G28" s="163">
        <f t="shared" si="0"/>
      </c>
      <c r="H28" s="44" t="s">
        <v>30</v>
      </c>
    </row>
    <row r="29" spans="2:8" ht="12.75" customHeight="1">
      <c r="B29" s="388" t="str">
        <f>VLOOKUP(C29,'Item List'!$A$2:$B$1105,2,FALSE)</f>
        <v>027480040</v>
      </c>
      <c r="C29" s="392" t="s">
        <v>2431</v>
      </c>
      <c r="D29" s="79">
        <f>Assumptions!U20+Assumptions!W20</f>
        <v>0</v>
      </c>
      <c r="E29" s="69" t="str">
        <f>VLOOKUP(B29,'Item List'!$B$2:$C$1105,2,FALSE)</f>
        <v>Ton</v>
      </c>
      <c r="F29" s="632"/>
      <c r="G29" s="163">
        <f t="shared" si="0"/>
      </c>
      <c r="H29" s="44" t="s">
        <v>60</v>
      </c>
    </row>
    <row r="30" spans="2:8" ht="12.75" customHeight="1">
      <c r="B30" s="388" t="str">
        <f>VLOOKUP(C30,'Item List'!$A$2:$B$1105,2,FALSE)</f>
        <v>027520020</v>
      </c>
      <c r="C30" s="392" t="s">
        <v>89</v>
      </c>
      <c r="D30" s="79">
        <f>Assumptions!AD38</f>
        <v>0</v>
      </c>
      <c r="E30" s="69" t="str">
        <f>VLOOKUP(B30,'Item List'!$B$2:$C$1105,2,FALSE)</f>
        <v>sq yd</v>
      </c>
      <c r="F30" s="632"/>
      <c r="G30" s="163">
        <f t="shared" si="0"/>
      </c>
      <c r="H30" s="44"/>
    </row>
    <row r="31" spans="2:8" ht="12.75" customHeight="1">
      <c r="B31" s="388" t="str">
        <f>VLOOKUP(C31,'Item List'!$A$2:$B$1105,2,FALSE)</f>
        <v>027710025</v>
      </c>
      <c r="C31" s="390" t="s">
        <v>90</v>
      </c>
      <c r="D31" s="632"/>
      <c r="E31" s="69" t="str">
        <f>VLOOKUP(B31,'Item List'!$B$2:$C$1105,2,FALSE)</f>
        <v>ft</v>
      </c>
      <c r="F31" s="632"/>
      <c r="G31" s="163">
        <f t="shared" si="0"/>
      </c>
      <c r="H31" s="44"/>
    </row>
    <row r="32" spans="2:8" ht="12.75" customHeight="1">
      <c r="B32" s="388" t="str">
        <f>VLOOKUP(C32,'Item List'!$A$2:$B$1105,2,FALSE)</f>
        <v>027760010</v>
      </c>
      <c r="C32" s="390" t="s">
        <v>91</v>
      </c>
      <c r="D32" s="632"/>
      <c r="E32" s="69" t="str">
        <f>VLOOKUP(B32,'Item List'!$B$2:$C$1105,2,FALSE)</f>
        <v>sq ft</v>
      </c>
      <c r="F32" s="632"/>
      <c r="G32" s="163">
        <f t="shared" si="0"/>
      </c>
      <c r="H32" s="44"/>
    </row>
    <row r="33" spans="2:8" ht="12.75" customHeight="1">
      <c r="B33" s="388" t="str">
        <f>VLOOKUP(C33,'Item List'!$A$2:$B$1105,2,FALSE)</f>
        <v>027850020</v>
      </c>
      <c r="C33" s="390" t="s">
        <v>165</v>
      </c>
      <c r="D33" s="79">
        <f>Assumptions!Z38</f>
        <v>0</v>
      </c>
      <c r="E33" s="69" t="str">
        <f>VLOOKUP(B33,'Item List'!$B$2:$C$1105,2,FALSE)</f>
        <v>sq yd</v>
      </c>
      <c r="F33" s="632"/>
      <c r="G33" s="163">
        <f t="shared" si="0"/>
      </c>
      <c r="H33" s="44"/>
    </row>
    <row r="34" spans="2:8" ht="12.75" customHeight="1">
      <c r="B34" s="388" t="str">
        <f>VLOOKUP(C34,'Item List'!$A$2:$B$1105,2,FALSE)</f>
        <v>027850060</v>
      </c>
      <c r="C34" s="390" t="s">
        <v>39</v>
      </c>
      <c r="D34" s="79">
        <f>Assumptions!Y20</f>
        <v>0</v>
      </c>
      <c r="E34" s="69" t="str">
        <f>VLOOKUP(B34,'Item List'!$B$2:$C$1105,2,FALSE)</f>
        <v>Ton</v>
      </c>
      <c r="F34" s="632"/>
      <c r="G34" s="163">
        <f t="shared" si="0"/>
      </c>
      <c r="H34" s="44" t="s">
        <v>331</v>
      </c>
    </row>
    <row r="35" spans="2:8" ht="12.75" customHeight="1">
      <c r="B35" s="388" t="str">
        <f>VLOOKUP(C35,'Item List'!$A$2:$B$1105,2,FALSE)</f>
        <v>027850075</v>
      </c>
      <c r="C35" s="390" t="s">
        <v>211</v>
      </c>
      <c r="D35" s="79">
        <f>Assumptions!AA20</f>
        <v>0</v>
      </c>
      <c r="E35" s="69" t="str">
        <f>VLOOKUP(B35,'Item List'!$B$2:$C$1105,2,FALSE)</f>
        <v>Ton</v>
      </c>
      <c r="F35" s="632"/>
      <c r="G35" s="163">
        <f t="shared" si="0"/>
      </c>
      <c r="H35" s="44" t="s">
        <v>40</v>
      </c>
    </row>
    <row r="36" spans="2:8" ht="12.75" customHeight="1">
      <c r="B36" s="388" t="str">
        <f>VLOOKUP(C36,'Item List'!$A$2:$B$1105,2,FALSE)</f>
        <v>027860010</v>
      </c>
      <c r="C36" s="390" t="s">
        <v>212</v>
      </c>
      <c r="D36" s="79">
        <f>Assumptions!X38</f>
        <v>0</v>
      </c>
      <c r="E36" s="69" t="str">
        <f>VLOOKUP(B36,'Item List'!$B$2:$C$1105,2,FALSE)</f>
        <v>Ton</v>
      </c>
      <c r="F36" s="632"/>
      <c r="G36" s="163">
        <f t="shared" si="0"/>
      </c>
      <c r="H36" s="44"/>
    </row>
    <row r="37" spans="2:8" ht="12.75" customHeight="1">
      <c r="B37" s="388" t="str">
        <f>VLOOKUP(C37,'Item List'!$A$2:$B$1105,2,FALSE)</f>
        <v>027860020</v>
      </c>
      <c r="C37" s="389" t="s">
        <v>2432</v>
      </c>
      <c r="D37" s="80">
        <f>Assumptions!Y38</f>
        <v>0</v>
      </c>
      <c r="E37" s="69" t="str">
        <f>VLOOKUP(B37,'Item List'!$B$2:$C$1105,2,FALSE)</f>
        <v>Ton</v>
      </c>
      <c r="F37" s="632"/>
      <c r="G37" s="163"/>
      <c r="H37" s="44" t="s">
        <v>333</v>
      </c>
    </row>
    <row r="38" spans="2:8" ht="12.75" customHeight="1">
      <c r="B38" s="388" t="str">
        <f>VLOOKUP(C38,'Item List'!$A$2:$B$1105,2,FALSE)</f>
        <v>028220030</v>
      </c>
      <c r="C38" s="390" t="s">
        <v>2436</v>
      </c>
      <c r="D38" s="632"/>
      <c r="E38" s="69" t="str">
        <f>VLOOKUP(B38,'Item List'!$B$2:$C$1105,2,FALSE)</f>
        <v>ft</v>
      </c>
      <c r="F38" s="632"/>
      <c r="G38" s="163">
        <f t="shared" si="0"/>
      </c>
      <c r="H38" s="44"/>
    </row>
    <row r="39" spans="2:8" ht="12.75" customHeight="1">
      <c r="B39" s="388" t="str">
        <f>VLOOKUP(C39,'Item List'!$A$2:$B$1105,2,FALSE)</f>
        <v>029610020</v>
      </c>
      <c r="C39" s="389" t="s">
        <v>166</v>
      </c>
      <c r="D39" s="80">
        <f>Assumptions!AF38</f>
        <v>0</v>
      </c>
      <c r="E39" s="69" t="str">
        <f>VLOOKUP(B39,'Item List'!$B$2:$C$1105,2,FALSE)</f>
        <v>sq yd</v>
      </c>
      <c r="F39" s="632"/>
      <c r="G39" s="163">
        <f t="shared" si="0"/>
      </c>
      <c r="H39" s="59"/>
    </row>
    <row r="40" spans="2:8" ht="13.5" thickBot="1">
      <c r="B40" s="317"/>
      <c r="C40" s="71"/>
      <c r="D40" s="80"/>
      <c r="E40" s="395"/>
      <c r="F40" s="158"/>
      <c r="G40" s="147"/>
      <c r="H40" s="59"/>
    </row>
    <row r="41" spans="2:8" ht="17.25" thickBot="1" thickTop="1">
      <c r="B41" s="312" t="s">
        <v>322</v>
      </c>
      <c r="C41" s="172"/>
      <c r="D41" s="173"/>
      <c r="E41" s="396"/>
      <c r="F41" s="174"/>
      <c r="G41" s="175">
        <f>ROUND(SUM(G7:G40),0)</f>
        <v>0</v>
      </c>
      <c r="H41" s="176"/>
    </row>
    <row r="42" spans="2:8" ht="13.5" thickTop="1">
      <c r="B42" s="306"/>
      <c r="C42" s="169"/>
      <c r="D42" s="170"/>
      <c r="E42" s="397"/>
      <c r="F42" s="157"/>
      <c r="G42" s="171"/>
      <c r="H42" s="74"/>
    </row>
    <row r="43" spans="2:8" ht="15.75">
      <c r="B43" s="307" t="s">
        <v>306</v>
      </c>
      <c r="C43" s="58"/>
      <c r="D43" s="140"/>
      <c r="E43" s="398"/>
      <c r="F43" s="152"/>
      <c r="G43" s="149"/>
      <c r="H43" s="59"/>
    </row>
    <row r="44" spans="2:8" ht="18">
      <c r="B44" s="388" t="str">
        <f>VLOOKUP(C44,'Item List'!$A$2:$B$1105,2,FALSE)</f>
        <v>023730010</v>
      </c>
      <c r="C44" s="390" t="s">
        <v>45</v>
      </c>
      <c r="D44" s="632"/>
      <c r="E44" s="69" t="str">
        <f>VLOOKUP(B44,'Item List'!$B$2:$C$1105,2,FALSE)</f>
        <v>cu yd</v>
      </c>
      <c r="F44" s="632"/>
      <c r="G44" s="163">
        <f>IF(OR(D44="",F44=""),"",F44*D44)</f>
      </c>
      <c r="H44" s="44"/>
    </row>
    <row r="45" spans="2:8" ht="18">
      <c r="B45" s="388" t="str">
        <f>VLOOKUP(C45,'Item List'!$A$2:$B$1105,2,FALSE)</f>
        <v>026101386</v>
      </c>
      <c r="C45" s="390" t="s">
        <v>160</v>
      </c>
      <c r="D45" s="632"/>
      <c r="E45" s="69" t="str">
        <f>VLOOKUP(B45,'Item List'!$B$2:$C$1105,2,FALSE)</f>
        <v>ft</v>
      </c>
      <c r="F45" s="632"/>
      <c r="G45" s="163">
        <f>IF(OR(D45="",F45=""),"",F45*D45)</f>
      </c>
      <c r="H45" s="44"/>
    </row>
    <row r="46" spans="2:8" ht="18">
      <c r="B46" s="388" t="str">
        <f>VLOOKUP(C46,'Item List'!$A$2:$B$1105,2,FALSE)</f>
        <v>026101388</v>
      </c>
      <c r="C46" s="390" t="s">
        <v>161</v>
      </c>
      <c r="D46" s="632"/>
      <c r="E46" s="69" t="str">
        <f>VLOOKUP(B46,'Item List'!$B$2:$C$1105,2,FALSE)</f>
        <v>ft</v>
      </c>
      <c r="F46" s="632"/>
      <c r="G46" s="163">
        <f>IF(OR(D46="",F46=""),"",F46*D46)</f>
      </c>
      <c r="H46" s="44"/>
    </row>
    <row r="47" spans="2:8" ht="18">
      <c r="B47" s="388" t="str">
        <f>VLOOKUP(C47,'Item List'!$A$2:$B$1105,2,FALSE)</f>
        <v>026101391</v>
      </c>
      <c r="C47" s="390" t="s">
        <v>162</v>
      </c>
      <c r="D47" s="632"/>
      <c r="E47" s="69" t="str">
        <f>VLOOKUP(B47,'Item List'!$B$2:$C$1105,2,FALSE)</f>
        <v>ft</v>
      </c>
      <c r="F47" s="632"/>
      <c r="G47" s="163">
        <f>IF(OR(D47="",F47=""),"",F47*D47)</f>
      </c>
      <c r="H47" s="44"/>
    </row>
    <row r="48" spans="2:8" ht="18">
      <c r="B48" s="388" t="str">
        <f>VLOOKUP(C48,'Item List'!$A$2:$B$1105,2,FALSE)</f>
        <v>026330130</v>
      </c>
      <c r="C48" s="390" t="s">
        <v>2451</v>
      </c>
      <c r="D48" s="632"/>
      <c r="E48" s="69" t="str">
        <f>VLOOKUP(B48,'Item List'!$B$2:$C$1105,2,FALSE)</f>
        <v>Each</v>
      </c>
      <c r="F48" s="632"/>
      <c r="G48" s="163">
        <f>IF(OR(D48="",F48=""),"",F48*D48)</f>
      </c>
      <c r="H48" s="44"/>
    </row>
    <row r="49" spans="2:8" ht="13.5" thickBot="1">
      <c r="B49" s="318"/>
      <c r="C49" s="30"/>
      <c r="D49" s="141"/>
      <c r="E49" s="399"/>
      <c r="F49" s="158"/>
      <c r="G49" s="150"/>
      <c r="H49" s="122"/>
    </row>
    <row r="50" spans="2:8" ht="17.25" thickBot="1" thickTop="1">
      <c r="B50" s="312" t="s">
        <v>323</v>
      </c>
      <c r="C50" s="68"/>
      <c r="D50" s="142"/>
      <c r="E50" s="400"/>
      <c r="F50" s="159"/>
      <c r="G50" s="151">
        <f>ROUND(SUM(G44:G49),0)</f>
        <v>0</v>
      </c>
      <c r="H50" s="23"/>
    </row>
    <row r="51" spans="2:8" ht="13.5" thickTop="1">
      <c r="B51" s="306"/>
      <c r="C51" s="90"/>
      <c r="D51" s="135"/>
      <c r="E51" s="90"/>
      <c r="F51" s="160"/>
      <c r="G51" s="143"/>
      <c r="H51" s="117"/>
    </row>
    <row r="52" spans="2:8" ht="15.75">
      <c r="B52" s="307" t="s">
        <v>321</v>
      </c>
      <c r="C52" s="89"/>
      <c r="D52" s="136"/>
      <c r="E52" s="401"/>
      <c r="F52" s="161"/>
      <c r="G52" s="144"/>
      <c r="H52" s="118"/>
    </row>
    <row r="53" spans="2:10" ht="12.75" customHeight="1">
      <c r="B53" s="388" t="str">
        <f>VLOOKUP(C53,'Item List'!$A$2:$B$1105,2,FALSE)</f>
        <v>013150010</v>
      </c>
      <c r="C53" s="40" t="s">
        <v>41</v>
      </c>
      <c r="D53" s="79">
        <v>1</v>
      </c>
      <c r="E53" s="69" t="str">
        <f>VLOOKUP(B53,'Item List'!$B$2:$C$1105,2,FALSE)</f>
        <v>Lump</v>
      </c>
      <c r="F53" s="632"/>
      <c r="G53" s="382">
        <f>ROUND(F53*D53,0)</f>
        <v>0</v>
      </c>
      <c r="H53" s="43" t="s">
        <v>2456</v>
      </c>
      <c r="I53" s="119" t="e">
        <f>+G53/Main!G33</f>
        <v>#DIV/0!</v>
      </c>
      <c r="J53" s="119">
        <v>0.0025</v>
      </c>
    </row>
    <row r="54" spans="2:10" ht="12.75" customHeight="1" thickBot="1">
      <c r="B54" s="315"/>
      <c r="C54" s="77"/>
      <c r="D54" s="137"/>
      <c r="E54" s="402"/>
      <c r="F54" s="162"/>
      <c r="G54" s="145"/>
      <c r="H54" s="78"/>
      <c r="I54" s="119"/>
      <c r="J54" s="120"/>
    </row>
    <row r="55" spans="2:8" ht="15">
      <c r="B55" s="2"/>
      <c r="C55" s="3"/>
      <c r="D55" s="3"/>
      <c r="E55" s="4"/>
      <c r="F55" s="5"/>
      <c r="G55" s="6"/>
      <c r="H55" s="123" t="s">
        <v>136</v>
      </c>
    </row>
    <row r="56" ht="13.5" thickBot="1"/>
    <row r="57" spans="2:8" ht="36.75" customHeight="1" thickTop="1">
      <c r="B57" s="700" t="s">
        <v>194</v>
      </c>
      <c r="C57" s="700"/>
      <c r="D57" s="700"/>
      <c r="E57" s="700"/>
      <c r="F57" s="700"/>
      <c r="G57" s="700"/>
      <c r="H57" s="700"/>
    </row>
  </sheetData>
  <sheetProtection/>
  <mergeCells count="5">
    <mergeCell ref="B2:H2"/>
    <mergeCell ref="J4:L4"/>
    <mergeCell ref="B57:H57"/>
    <mergeCell ref="B3:H3"/>
    <mergeCell ref="I1:K3"/>
  </mergeCells>
  <hyperlinks>
    <hyperlink ref="B57:H57" r:id="rId1" display="The items listed above are some commonly used items.  The above list is not all inclusive.  Additional standard items can be located in the Measurement and Payment Document located on the UDOT website at http://udot.utah.gov/main/f?p=100:pg:0:::1:T,V:3687"/>
    <hyperlink ref="H55" location="Main!A1" display="MAIN"/>
  </hyperlinks>
  <printOptions horizontalCentered="1"/>
  <pageMargins left="0.25" right="0.25" top="0.75" bottom="0.75" header="0.3" footer="0.3"/>
  <pageSetup blackAndWhite="1" fitToHeight="1" fitToWidth="1" horizontalDpi="600" verticalDpi="600" orientation="portrait" scale="77" r:id="rId5"/>
  <headerFooter alignWithMargins="0">
    <oddFooter>&amp;L&amp;D&amp;CPage &amp;P of &amp;N&amp;RConcept Level Est Form 
Form 2</oddFooter>
  </headerFooter>
  <drawing r:id="rId4"/>
  <legacyDrawing r:id="rId3"/>
</worksheet>
</file>

<file path=xl/worksheets/sheet5.xml><?xml version="1.0" encoding="utf-8"?>
<worksheet xmlns="http://schemas.openxmlformats.org/spreadsheetml/2006/main" xmlns:r="http://schemas.openxmlformats.org/officeDocument/2006/relationships">
  <sheetPr codeName="Sheet6">
    <pageSetUpPr fitToPage="1"/>
  </sheetPr>
  <dimension ref="B2:AD33"/>
  <sheetViews>
    <sheetView zoomScalePageLayoutView="55" workbookViewId="0" topLeftCell="A1">
      <selection activeCell="H30" sqref="B2:H30"/>
    </sheetView>
  </sheetViews>
  <sheetFormatPr defaultColWidth="9.140625" defaultRowHeight="12.75"/>
  <cols>
    <col min="1" max="1" width="5.28125" style="93" customWidth="1"/>
    <col min="2" max="2" width="13.7109375" style="93" customWidth="1"/>
    <col min="3" max="3" width="47.57421875" style="93" bestFit="1" customWidth="1"/>
    <col min="4" max="4" width="10.421875" style="93" bestFit="1" customWidth="1"/>
    <col min="5" max="5" width="9.7109375" style="93" customWidth="1"/>
    <col min="6" max="6" width="13.421875" style="93" customWidth="1"/>
    <col min="7" max="7" width="15.7109375" style="93" bestFit="1" customWidth="1"/>
    <col min="8" max="8" width="26.7109375" style="93" customWidth="1"/>
    <col min="9" max="9" width="13.7109375" style="93" customWidth="1"/>
    <col min="10" max="16384" width="9.140625" style="93" customWidth="1"/>
  </cols>
  <sheetData>
    <row r="1" ht="12.75"/>
    <row r="2" spans="2:11" ht="25.5">
      <c r="B2" s="648" t="s">
        <v>109</v>
      </c>
      <c r="C2" s="648"/>
      <c r="D2" s="648"/>
      <c r="E2" s="648"/>
      <c r="F2" s="648"/>
      <c r="G2" s="648"/>
      <c r="H2" s="648"/>
      <c r="I2" s="675" t="s">
        <v>2524</v>
      </c>
      <c r="J2" s="675"/>
      <c r="K2" s="675"/>
    </row>
    <row r="3" spans="2:30" ht="15">
      <c r="B3" s="696" t="str">
        <f>Main!B2</f>
        <v>PROJECT NAME:  </v>
      </c>
      <c r="C3" s="696"/>
      <c r="D3" s="696"/>
      <c r="E3" s="696"/>
      <c r="F3" s="696"/>
      <c r="G3" s="696"/>
      <c r="H3" s="696"/>
      <c r="I3" s="675"/>
      <c r="J3" s="675"/>
      <c r="K3" s="675"/>
      <c r="L3" s="387"/>
      <c r="M3" s="387"/>
      <c r="N3" s="387"/>
      <c r="O3" s="387"/>
      <c r="P3" s="387"/>
      <c r="Q3" s="387"/>
      <c r="R3" s="387"/>
      <c r="S3" s="387"/>
      <c r="T3" s="387"/>
      <c r="U3" s="387"/>
      <c r="V3" s="387"/>
      <c r="W3" s="387"/>
      <c r="X3" s="387"/>
      <c r="Y3" s="387"/>
      <c r="Z3" s="387"/>
      <c r="AA3" s="387"/>
      <c r="AB3" s="387"/>
      <c r="AC3" s="387"/>
      <c r="AD3" s="387"/>
    </row>
    <row r="4" spans="2:11" ht="26.25" thickBot="1">
      <c r="B4" s="110"/>
      <c r="I4" s="675"/>
      <c r="J4" s="675"/>
      <c r="K4" s="675"/>
    </row>
    <row r="5" spans="2:8" ht="18.75" customHeight="1" thickBot="1" thickTop="1">
      <c r="B5" s="114" t="s">
        <v>14</v>
      </c>
      <c r="C5" s="115" t="s">
        <v>4</v>
      </c>
      <c r="D5" s="115" t="s">
        <v>5</v>
      </c>
      <c r="E5" s="115" t="s">
        <v>7</v>
      </c>
      <c r="F5" s="115" t="s">
        <v>6</v>
      </c>
      <c r="G5" s="115" t="s">
        <v>8</v>
      </c>
      <c r="H5" s="116" t="s">
        <v>9</v>
      </c>
    </row>
    <row r="6" spans="2:8" ht="12.75">
      <c r="B6" s="306"/>
      <c r="C6" s="124"/>
      <c r="D6" s="126"/>
      <c r="E6" s="124"/>
      <c r="F6" s="154"/>
      <c r="G6" s="154"/>
      <c r="H6" s="125"/>
    </row>
    <row r="7" spans="2:8" ht="12.75" customHeight="1">
      <c r="B7" s="307" t="s">
        <v>129</v>
      </c>
      <c r="C7" s="27"/>
      <c r="D7" s="127"/>
      <c r="E7" s="28"/>
      <c r="F7" s="152"/>
      <c r="G7" s="163"/>
      <c r="H7" s="20"/>
    </row>
    <row r="8" spans="2:8" ht="12.75" customHeight="1">
      <c r="B8" s="388" t="str">
        <f>VLOOKUP(C8,'Item List'!$A$2:$B$1105,2,FALSE)</f>
        <v>027650050</v>
      </c>
      <c r="C8" s="391" t="s">
        <v>46</v>
      </c>
      <c r="D8" s="127">
        <f>Assumptions!J73</f>
        <v>0</v>
      </c>
      <c r="E8" s="69" t="str">
        <f>VLOOKUP(B8,'Item List'!$B$2:$C$1105,2,FALSE)</f>
        <v>gal</v>
      </c>
      <c r="F8" s="632"/>
      <c r="G8" s="163">
        <f aca="true" t="shared" si="0" ref="G8:G16">IF(OR(D8="",F8=""),"",F8*D8)</f>
      </c>
      <c r="H8" s="20"/>
    </row>
    <row r="9" spans="2:8" ht="12.75" customHeight="1">
      <c r="B9" s="388" t="str">
        <f>VLOOKUP(C9,'Item List'!$A$2:$B$1105,2,FALSE)</f>
        <v>027680105</v>
      </c>
      <c r="C9" s="391" t="s">
        <v>357</v>
      </c>
      <c r="D9" s="632"/>
      <c r="E9" s="69" t="str">
        <f>VLOOKUP(B9,'Item List'!$B$2:$C$1105,2,FALSE)</f>
        <v>Each</v>
      </c>
      <c r="F9" s="632"/>
      <c r="G9" s="163">
        <f>IF(OR(D9="",F9=""),"",F9*D9)</f>
      </c>
      <c r="H9" s="20"/>
    </row>
    <row r="10" spans="2:8" ht="25.5">
      <c r="B10" s="388" t="str">
        <f>VLOOKUP(C10,'Item List'!$A$2:$B$1105,2,FALSE)</f>
        <v>027680110</v>
      </c>
      <c r="C10" s="393" t="s">
        <v>1281</v>
      </c>
      <c r="D10" s="632"/>
      <c r="E10" s="69" t="str">
        <f>VLOOKUP(B10,'Item List'!$B$2:$C$1105,2,FALSE)</f>
        <v>Each</v>
      </c>
      <c r="F10" s="632"/>
      <c r="G10" s="163">
        <f>IF(OR(D10="",F10=""),"",F10*D10)</f>
      </c>
      <c r="H10" s="20"/>
    </row>
    <row r="11" spans="2:8" ht="12.75" customHeight="1">
      <c r="B11" s="388" t="str">
        <f>VLOOKUP(C11,'Item List'!$A$2:$B$1105,2,FALSE)</f>
        <v>028410086</v>
      </c>
      <c r="C11" s="390" t="s">
        <v>167</v>
      </c>
      <c r="D11" s="632"/>
      <c r="E11" s="69" t="str">
        <f>VLOOKUP(B11,'Item List'!$B$2:$C$1105,2,FALSE)</f>
        <v>ft</v>
      </c>
      <c r="F11" s="632"/>
      <c r="G11" s="163">
        <f t="shared" si="0"/>
      </c>
      <c r="H11" s="20"/>
    </row>
    <row r="12" spans="2:8" ht="12.75" customHeight="1">
      <c r="B12" s="388" t="str">
        <f>VLOOKUP(C12,'Item List'!$A$2:$B$1105,2,FALSE)</f>
        <v>028430035</v>
      </c>
      <c r="C12" s="390" t="s">
        <v>48</v>
      </c>
      <c r="D12" s="632"/>
      <c r="E12" s="69" t="str">
        <f>VLOOKUP(B12,'Item List'!$B$2:$C$1105,2,FALSE)</f>
        <v>Each</v>
      </c>
      <c r="F12" s="632"/>
      <c r="G12" s="163">
        <f t="shared" si="0"/>
      </c>
      <c r="H12" s="20"/>
    </row>
    <row r="13" spans="2:8" ht="12.75" customHeight="1">
      <c r="B13" s="388" t="str">
        <f>VLOOKUP(C13,'Item List'!$A$2:$B$1105,2,FALSE)</f>
        <v>028440010</v>
      </c>
      <c r="C13" s="391" t="s">
        <v>1559</v>
      </c>
      <c r="D13" s="632"/>
      <c r="E13" s="69" t="str">
        <f>VLOOKUP(B13,'Item List'!$B$2:$C$1105,2,FALSE)</f>
        <v>ft</v>
      </c>
      <c r="F13" s="632"/>
      <c r="G13" s="163">
        <f t="shared" si="0"/>
      </c>
      <c r="H13" s="20"/>
    </row>
    <row r="14" spans="2:8" ht="18">
      <c r="B14" s="388" t="str">
        <f>VLOOKUP(C14,'Item List'!$A$2:$B$1105,2,FALSE)</f>
        <v>028910028</v>
      </c>
      <c r="C14" s="391" t="s">
        <v>168</v>
      </c>
      <c r="D14" s="632"/>
      <c r="E14" s="69" t="str">
        <f>VLOOKUP(B14,'Item List'!$B$2:$C$1105,2,FALSE)</f>
        <v>Each</v>
      </c>
      <c r="F14" s="632"/>
      <c r="G14" s="163">
        <f t="shared" si="0"/>
      </c>
      <c r="H14" s="20"/>
    </row>
    <row r="15" spans="2:8" ht="18">
      <c r="B15" s="388" t="str">
        <f>VLOOKUP(C15,'Item List'!$A$2:$B$1105,2,FALSE)</f>
        <v>028910270</v>
      </c>
      <c r="C15" s="391" t="s">
        <v>169</v>
      </c>
      <c r="D15" s="632"/>
      <c r="E15" s="69" t="str">
        <f>VLOOKUP(B15,'Item List'!$B$2:$C$1105,2,FALSE)</f>
        <v>Each</v>
      </c>
      <c r="F15" s="632"/>
      <c r="G15" s="163">
        <f t="shared" si="0"/>
      </c>
      <c r="H15" s="20"/>
    </row>
    <row r="16" spans="2:8" ht="18">
      <c r="B16" s="388" t="str">
        <f>VLOOKUP(C16,'Item List'!$A$2:$B$1105,2,FALSE)</f>
        <v>028910285</v>
      </c>
      <c r="C16" s="391" t="s">
        <v>170</v>
      </c>
      <c r="D16" s="632"/>
      <c r="E16" s="69" t="str">
        <f>VLOOKUP(B16,'Item List'!$B$2:$C$1105,2,FALSE)</f>
        <v>Each</v>
      </c>
      <c r="F16" s="632"/>
      <c r="G16" s="163">
        <f t="shared" si="0"/>
      </c>
      <c r="H16" s="20"/>
    </row>
    <row r="17" spans="2:8" ht="12.75">
      <c r="B17" s="319"/>
      <c r="C17" s="28"/>
      <c r="D17" s="127"/>
      <c r="E17" s="27"/>
      <c r="F17" s="152"/>
      <c r="G17" s="163"/>
      <c r="H17" s="20"/>
    </row>
    <row r="18" spans="2:8" ht="15.75">
      <c r="B18" s="308" t="s">
        <v>99</v>
      </c>
      <c r="C18" s="28"/>
      <c r="D18" s="127"/>
      <c r="E18" s="27"/>
      <c r="F18" s="152"/>
      <c r="G18" s="163"/>
      <c r="H18" s="20"/>
    </row>
    <row r="19" spans="2:8" ht="18">
      <c r="B19" s="388" t="str">
        <f>VLOOKUP(C19,'Item List'!$A$2:$B$1105,2,FALSE)</f>
        <v>02892001D</v>
      </c>
      <c r="C19" s="42" t="s">
        <v>149</v>
      </c>
      <c r="D19" s="128">
        <v>1</v>
      </c>
      <c r="E19" s="69" t="str">
        <f>VLOOKUP(B19,'Item List'!$B$2:$C$1105,2,FALSE)</f>
        <v>Lump</v>
      </c>
      <c r="F19" s="632"/>
      <c r="G19" s="163">
        <f>IF(OR(D19="",F19=""),"",F19*D19)</f>
      </c>
      <c r="H19" s="20"/>
    </row>
    <row r="20" spans="2:8" ht="12.75">
      <c r="B20" s="320"/>
      <c r="C20" s="27"/>
      <c r="D20" s="127"/>
      <c r="E20" s="27"/>
      <c r="F20" s="152"/>
      <c r="G20" s="163"/>
      <c r="H20" s="20"/>
    </row>
    <row r="21" spans="2:8" ht="15.75">
      <c r="B21" s="307" t="s">
        <v>94</v>
      </c>
      <c r="C21" s="27"/>
      <c r="D21" s="127"/>
      <c r="E21" s="27"/>
      <c r="F21" s="152"/>
      <c r="G21" s="163"/>
      <c r="H21" s="20"/>
    </row>
    <row r="22" spans="2:8" ht="18">
      <c r="B22" s="388" t="str">
        <f>VLOOKUP(C22,'Item List'!$A$2:$B$1105,2,FALSE)</f>
        <v>16525001D</v>
      </c>
      <c r="C22" s="27" t="s">
        <v>110</v>
      </c>
      <c r="D22" s="127">
        <v>1</v>
      </c>
      <c r="E22" s="69" t="str">
        <f>VLOOKUP(B22,'Item List'!$B$2:$C$1105,2,FALSE)</f>
        <v>Lump</v>
      </c>
      <c r="F22" s="632"/>
      <c r="G22" s="163">
        <f>IF(OR(D22="",F22=""),"",F22*D22)</f>
      </c>
      <c r="H22" s="20"/>
    </row>
    <row r="23" spans="2:8" ht="13.5" thickBot="1">
      <c r="B23" s="321"/>
      <c r="C23" s="26"/>
      <c r="D23" s="129"/>
      <c r="E23" s="26"/>
      <c r="F23" s="155"/>
      <c r="G23" s="167"/>
      <c r="H23" s="22"/>
    </row>
    <row r="24" spans="2:8" ht="17.25" thickBot="1" thickTop="1">
      <c r="B24" s="309" t="s">
        <v>126</v>
      </c>
      <c r="C24" s="68"/>
      <c r="D24" s="130"/>
      <c r="E24" s="32"/>
      <c r="F24" s="153"/>
      <c r="G24" s="151">
        <f>ROUND(SUM(G8:G23),0)</f>
        <v>0</v>
      </c>
      <c r="H24" s="23"/>
    </row>
    <row r="25" spans="2:8" ht="13.5" thickTop="1">
      <c r="B25" s="310"/>
      <c r="C25" s="17"/>
      <c r="D25" s="131"/>
      <c r="E25" s="16"/>
      <c r="F25" s="156"/>
      <c r="G25" s="165"/>
      <c r="H25" s="18"/>
    </row>
    <row r="26" spans="2:8" ht="15.75">
      <c r="B26" s="311" t="s">
        <v>108</v>
      </c>
      <c r="C26" s="35"/>
      <c r="D26" s="132"/>
      <c r="E26" s="36"/>
      <c r="F26" s="157"/>
      <c r="G26" s="166"/>
      <c r="H26" s="34"/>
    </row>
    <row r="27" spans="2:8" ht="18">
      <c r="B27" s="388" t="str">
        <f>VLOOKUP(C27,'Item List'!$A$2:$B$1105,2,FALSE)</f>
        <v>135530035</v>
      </c>
      <c r="C27" s="27" t="s">
        <v>173</v>
      </c>
      <c r="D27" s="632"/>
      <c r="E27" s="69" t="str">
        <f>VLOOKUP(B27,'Item List'!$B$2:$C$1105,2,FALSE)</f>
        <v>ft</v>
      </c>
      <c r="F27" s="632"/>
      <c r="G27" s="163">
        <f>IF(OR(D27="",F27=""),"",F27*D27)</f>
      </c>
      <c r="H27" s="20"/>
    </row>
    <row r="28" spans="2:8" ht="18">
      <c r="B28" s="388"/>
      <c r="C28" s="40" t="s">
        <v>304</v>
      </c>
      <c r="D28" s="128">
        <v>1</v>
      </c>
      <c r="E28" s="19" t="s">
        <v>13</v>
      </c>
      <c r="F28" s="632"/>
      <c r="G28" s="163">
        <f>IF(OR(D28="",F28=""),"",F28*D28)</f>
      </c>
      <c r="H28" s="20"/>
    </row>
    <row r="29" spans="2:8" ht="13.5" thickBot="1">
      <c r="B29" s="322"/>
      <c r="C29" s="25"/>
      <c r="D29" s="133"/>
      <c r="E29" s="73"/>
      <c r="F29" s="158"/>
      <c r="G29" s="164"/>
      <c r="H29" s="24"/>
    </row>
    <row r="30" spans="2:8" ht="17.25" customHeight="1" thickBot="1" thickTop="1">
      <c r="B30" s="314" t="s">
        <v>127</v>
      </c>
      <c r="C30" s="313"/>
      <c r="D30" s="134"/>
      <c r="E30" s="67"/>
      <c r="F30" s="159"/>
      <c r="G30" s="148">
        <f>ROUND(SUM(G27:G29),0)</f>
        <v>0</v>
      </c>
      <c r="H30" s="72"/>
    </row>
    <row r="31" spans="2:8" ht="15.75" thickTop="1">
      <c r="B31" s="2"/>
      <c r="C31" s="3"/>
      <c r="D31" s="3"/>
      <c r="E31" s="4"/>
      <c r="F31" s="5"/>
      <c r="G31" s="6"/>
      <c r="H31" s="123" t="s">
        <v>136</v>
      </c>
    </row>
    <row r="32" ht="13.5" thickBot="1"/>
    <row r="33" spans="2:8" ht="36.75" customHeight="1" thickTop="1">
      <c r="B33" s="700" t="s">
        <v>194</v>
      </c>
      <c r="C33" s="700"/>
      <c r="D33" s="700"/>
      <c r="E33" s="700"/>
      <c r="F33" s="700"/>
      <c r="G33" s="700"/>
      <c r="H33" s="700"/>
    </row>
  </sheetData>
  <sheetProtection/>
  <mergeCells count="4">
    <mergeCell ref="B33:H33"/>
    <mergeCell ref="B2:H2"/>
    <mergeCell ref="B3:H3"/>
    <mergeCell ref="I2:K4"/>
  </mergeCells>
  <hyperlinks>
    <hyperlink ref="B33:H33" r:id="rId1" display="The items listed above are some commonly used items.  The above list is not all inclusive.  Additional standard items can be located in the Measurement and Payment Document located on the UDOT website at http://udot.utah.gov/main/f?p=100:pg:0:::1:T,V:3687"/>
    <hyperlink ref="H31" location="Main!A1" display="MAIN"/>
  </hyperlinks>
  <printOptions horizontalCentered="1"/>
  <pageMargins left="0.25" right="0.25" top="0.75" bottom="0.75" header="0.3" footer="0.3"/>
  <pageSetup blackAndWhite="1" fitToHeight="1" fitToWidth="1" horizontalDpi="600" verticalDpi="600" orientation="landscape" scale="99" r:id="rId4"/>
  <headerFooter alignWithMargins="0">
    <oddFooter>&amp;L&amp;D&amp;CPage &amp;P of &amp;N&amp;RConcept Level Est Form 
Form 3</oddFooter>
  </headerFooter>
  <legacyDrawing r:id="rId3"/>
</worksheet>
</file>

<file path=xl/worksheets/sheet6.xml><?xml version="1.0" encoding="utf-8"?>
<worksheet xmlns="http://schemas.openxmlformats.org/spreadsheetml/2006/main" xmlns:r="http://schemas.openxmlformats.org/officeDocument/2006/relationships">
  <sheetPr codeName="Sheet7">
    <pageSetUpPr fitToPage="1"/>
  </sheetPr>
  <dimension ref="B2:AD30"/>
  <sheetViews>
    <sheetView zoomScalePageLayoutView="55" workbookViewId="0" topLeftCell="A1">
      <selection activeCell="H26" sqref="B2:H26"/>
    </sheetView>
  </sheetViews>
  <sheetFormatPr defaultColWidth="9.140625" defaultRowHeight="12.75"/>
  <cols>
    <col min="1" max="1" width="9.140625" style="93" customWidth="1"/>
    <col min="2" max="2" width="12.00390625" style="93" customWidth="1"/>
    <col min="3" max="3" width="36.421875" style="93" bestFit="1" customWidth="1"/>
    <col min="4" max="4" width="10.421875" style="93" bestFit="1" customWidth="1"/>
    <col min="5" max="5" width="11.140625" style="93" customWidth="1"/>
    <col min="6" max="6" width="13.421875" style="93" customWidth="1"/>
    <col min="7" max="7" width="15.7109375" style="93" bestFit="1" customWidth="1"/>
    <col min="8" max="8" width="26.7109375" style="93" customWidth="1"/>
    <col min="9" max="9" width="13.7109375" style="93" customWidth="1"/>
    <col min="10" max="16384" width="9.140625" style="93" customWidth="1"/>
  </cols>
  <sheetData>
    <row r="1" ht="12.75"/>
    <row r="2" spans="2:11" ht="25.5">
      <c r="B2" s="648" t="s">
        <v>96</v>
      </c>
      <c r="C2" s="648"/>
      <c r="D2" s="648"/>
      <c r="E2" s="648"/>
      <c r="F2" s="648"/>
      <c r="G2" s="648"/>
      <c r="H2" s="648"/>
      <c r="I2" s="675" t="s">
        <v>2524</v>
      </c>
      <c r="J2" s="675"/>
      <c r="K2" s="675"/>
    </row>
    <row r="3" spans="2:30" ht="15">
      <c r="B3" s="696" t="str">
        <f>Main!B2</f>
        <v>PROJECT NAME:  </v>
      </c>
      <c r="C3" s="696"/>
      <c r="D3" s="696"/>
      <c r="E3" s="696"/>
      <c r="F3" s="696"/>
      <c r="G3" s="696"/>
      <c r="H3" s="696"/>
      <c r="I3" s="675"/>
      <c r="J3" s="675"/>
      <c r="K3" s="675"/>
      <c r="L3" s="387"/>
      <c r="M3" s="387"/>
      <c r="N3" s="387"/>
      <c r="O3" s="387"/>
      <c r="P3" s="387"/>
      <c r="Q3" s="387"/>
      <c r="R3" s="387"/>
      <c r="S3" s="387"/>
      <c r="T3" s="387"/>
      <c r="U3" s="387"/>
      <c r="V3" s="387"/>
      <c r="W3" s="387"/>
      <c r="X3" s="387"/>
      <c r="Y3" s="387"/>
      <c r="Z3" s="387"/>
      <c r="AA3" s="387"/>
      <c r="AB3" s="387"/>
      <c r="AC3" s="387"/>
      <c r="AD3" s="387"/>
    </row>
    <row r="4" spans="2:11" ht="26.25" thickBot="1">
      <c r="B4" s="110"/>
      <c r="I4" s="675"/>
      <c r="J4" s="675"/>
      <c r="K4" s="675"/>
    </row>
    <row r="5" spans="2:8" ht="18.75" customHeight="1" thickBot="1" thickTop="1">
      <c r="B5" s="114" t="s">
        <v>14</v>
      </c>
      <c r="C5" s="115" t="s">
        <v>4</v>
      </c>
      <c r="D5" s="115" t="s">
        <v>5</v>
      </c>
      <c r="E5" s="115" t="s">
        <v>7</v>
      </c>
      <c r="F5" s="115" t="s">
        <v>6</v>
      </c>
      <c r="G5" s="115" t="s">
        <v>8</v>
      </c>
      <c r="H5" s="116" t="s">
        <v>9</v>
      </c>
    </row>
    <row r="6" spans="2:8" ht="12.75">
      <c r="B6" s="306"/>
      <c r="C6" s="124"/>
      <c r="D6" s="127"/>
      <c r="E6" s="124"/>
      <c r="F6" s="152"/>
      <c r="G6" s="154"/>
      <c r="H6" s="125"/>
    </row>
    <row r="7" spans="2:8" ht="12.75" customHeight="1">
      <c r="B7" s="307" t="s">
        <v>111</v>
      </c>
      <c r="C7" s="28"/>
      <c r="D7" s="127"/>
      <c r="E7" s="28"/>
      <c r="F7" s="152"/>
      <c r="G7" s="163"/>
      <c r="H7" s="20"/>
    </row>
    <row r="8" spans="2:8" ht="12.75" customHeight="1">
      <c r="B8" s="319"/>
      <c r="C8" s="28" t="s">
        <v>112</v>
      </c>
      <c r="D8" s="632"/>
      <c r="E8" s="19" t="s">
        <v>113</v>
      </c>
      <c r="F8" s="632"/>
      <c r="G8" s="163">
        <f>IF(OR(D8="",F8=""),"",F8*D8)</f>
      </c>
      <c r="H8" s="20" t="s">
        <v>100</v>
      </c>
    </row>
    <row r="9" spans="2:8" ht="12.75">
      <c r="B9" s="319"/>
      <c r="C9" s="28"/>
      <c r="D9" s="127"/>
      <c r="E9" s="19"/>
      <c r="F9" s="152"/>
      <c r="G9" s="163"/>
      <c r="H9" s="20"/>
    </row>
    <row r="10" spans="2:8" ht="15.75">
      <c r="B10" s="307" t="s">
        <v>97</v>
      </c>
      <c r="C10" s="27"/>
      <c r="D10" s="127"/>
      <c r="E10" s="19"/>
      <c r="F10" s="152"/>
      <c r="G10" s="163"/>
      <c r="H10" s="20"/>
    </row>
    <row r="11" spans="2:8" ht="18">
      <c r="B11" s="319"/>
      <c r="C11" s="27" t="s">
        <v>116</v>
      </c>
      <c r="D11" s="632"/>
      <c r="E11" s="19" t="s">
        <v>98</v>
      </c>
      <c r="F11" s="632"/>
      <c r="G11" s="163">
        <f>IF(OR(D11="",F11=""),"",F11*D11)</f>
      </c>
      <c r="H11" s="20" t="s">
        <v>101</v>
      </c>
    </row>
    <row r="12" spans="2:8" ht="12.75">
      <c r="B12" s="319"/>
      <c r="C12" s="27"/>
      <c r="D12" s="127"/>
      <c r="E12" s="27"/>
      <c r="F12" s="152"/>
      <c r="G12" s="163"/>
      <c r="H12" s="20"/>
    </row>
    <row r="13" spans="2:8" ht="15.75">
      <c r="B13" s="307" t="s">
        <v>177</v>
      </c>
      <c r="C13" s="27"/>
      <c r="D13" s="127"/>
      <c r="E13" s="27"/>
      <c r="F13" s="152"/>
      <c r="G13" s="163"/>
      <c r="H13" s="20"/>
    </row>
    <row r="14" spans="2:8" ht="18">
      <c r="B14" s="319"/>
      <c r="C14" s="27" t="s">
        <v>178</v>
      </c>
      <c r="D14" s="128">
        <v>1</v>
      </c>
      <c r="E14" s="41" t="s">
        <v>13</v>
      </c>
      <c r="F14" s="632"/>
      <c r="G14" s="163">
        <f>IF(OR(D14="",F14=""),"",F14*D14)</f>
      </c>
      <c r="H14" s="20"/>
    </row>
    <row r="15" spans="2:8" ht="18">
      <c r="B15" s="388"/>
      <c r="C15" s="40" t="s">
        <v>319</v>
      </c>
      <c r="D15" s="128">
        <v>1</v>
      </c>
      <c r="E15" s="69" t="s">
        <v>13</v>
      </c>
      <c r="F15" s="632"/>
      <c r="G15" s="163">
        <f>IF(OR(D15="",F15=""),"",F15*D15)</f>
      </c>
      <c r="H15" s="20"/>
    </row>
    <row r="16" spans="2:8" ht="18">
      <c r="B16" s="319"/>
      <c r="C16" s="40" t="s">
        <v>2457</v>
      </c>
      <c r="D16" s="128">
        <v>1</v>
      </c>
      <c r="E16" s="41" t="s">
        <v>13</v>
      </c>
      <c r="F16" s="632"/>
      <c r="G16" s="163">
        <f>IF(OR(D16="",F16=""),"",F16*D16)</f>
      </c>
      <c r="H16" s="20"/>
    </row>
    <row r="17" spans="2:8" ht="12.75">
      <c r="B17" s="319"/>
      <c r="C17" s="27"/>
      <c r="D17" s="127"/>
      <c r="E17" s="27"/>
      <c r="F17" s="152"/>
      <c r="G17" s="163"/>
      <c r="H17" s="20"/>
    </row>
    <row r="18" spans="2:8" ht="15.75">
      <c r="B18" s="307" t="s">
        <v>141</v>
      </c>
      <c r="C18" s="27"/>
      <c r="D18" s="127"/>
      <c r="E18" s="27"/>
      <c r="F18" s="152"/>
      <c r="G18" s="163"/>
      <c r="H18" s="20"/>
    </row>
    <row r="19" spans="2:8" ht="12.75" customHeight="1">
      <c r="B19" s="319"/>
      <c r="C19" s="33" t="s">
        <v>114</v>
      </c>
      <c r="D19" s="632"/>
      <c r="E19" s="19" t="s">
        <v>11</v>
      </c>
      <c r="F19" s="632"/>
      <c r="G19" s="163">
        <f>IF(OR(D19="",F19=""),"",F19*D19)</f>
      </c>
      <c r="H19" s="20"/>
    </row>
    <row r="20" spans="2:8" ht="12.75" customHeight="1">
      <c r="B20" s="319"/>
      <c r="C20" s="33" t="s">
        <v>115</v>
      </c>
      <c r="D20" s="128">
        <v>1</v>
      </c>
      <c r="E20" s="19" t="s">
        <v>13</v>
      </c>
      <c r="F20" s="632"/>
      <c r="G20" s="163">
        <f>IF(OR(D20="",F20=""),"",F20*D20)</f>
      </c>
      <c r="H20" s="20"/>
    </row>
    <row r="21" spans="2:8" ht="12.75" customHeight="1">
      <c r="B21" s="319"/>
      <c r="C21" s="33"/>
      <c r="D21" s="127"/>
      <c r="E21" s="19"/>
      <c r="F21" s="152"/>
      <c r="G21" s="163"/>
      <c r="H21" s="20"/>
    </row>
    <row r="22" spans="2:8" ht="12.75" customHeight="1">
      <c r="B22" s="307" t="s">
        <v>131</v>
      </c>
      <c r="C22" s="33"/>
      <c r="D22" s="127"/>
      <c r="E22" s="19"/>
      <c r="F22" s="152"/>
      <c r="G22" s="163"/>
      <c r="H22" s="20"/>
    </row>
    <row r="23" spans="2:8" ht="12.75" customHeight="1">
      <c r="B23" s="319"/>
      <c r="C23" s="33" t="s">
        <v>132</v>
      </c>
      <c r="D23" s="128">
        <v>1</v>
      </c>
      <c r="E23" s="19" t="s">
        <v>13</v>
      </c>
      <c r="F23" s="632"/>
      <c r="G23" s="163">
        <f>IF(OR(D23="",F23=""),"",F23*D23)</f>
      </c>
      <c r="H23" s="20"/>
    </row>
    <row r="24" spans="2:8" ht="12.75" customHeight="1">
      <c r="B24" s="319"/>
      <c r="C24" s="33" t="s">
        <v>133</v>
      </c>
      <c r="D24" s="128">
        <v>1</v>
      </c>
      <c r="E24" s="19" t="s">
        <v>13</v>
      </c>
      <c r="F24" s="632"/>
      <c r="G24" s="163">
        <f>IF(OR(D24="",F24=""),"",F24*D24)</f>
      </c>
      <c r="H24" s="20"/>
    </row>
    <row r="25" spans="2:8" ht="13.5" thickBot="1">
      <c r="B25" s="319"/>
      <c r="C25" s="30"/>
      <c r="D25" s="133"/>
      <c r="E25" s="31"/>
      <c r="F25" s="152"/>
      <c r="G25" s="164"/>
      <c r="H25" s="122"/>
    </row>
    <row r="26" spans="2:8" ht="17.25" thickBot="1" thickTop="1">
      <c r="B26" s="314" t="s">
        <v>130</v>
      </c>
      <c r="C26" s="68"/>
      <c r="D26" s="139"/>
      <c r="E26" s="32"/>
      <c r="F26" s="159"/>
      <c r="G26" s="148">
        <f>ROUND(SUM(G8:G25),0)</f>
        <v>0</v>
      </c>
      <c r="H26" s="23"/>
    </row>
    <row r="27" spans="2:8" ht="16.5" thickTop="1">
      <c r="B27" s="61"/>
      <c r="C27" s="62"/>
      <c r="D27" s="62"/>
      <c r="E27" s="63"/>
      <c r="F27" s="38"/>
      <c r="G27" s="64"/>
      <c r="H27" s="123" t="s">
        <v>136</v>
      </c>
    </row>
    <row r="28" spans="2:7" ht="13.5" thickBot="1">
      <c r="B28" s="2"/>
      <c r="C28" s="3"/>
      <c r="D28" s="3"/>
      <c r="E28" s="4"/>
      <c r="F28" s="5"/>
      <c r="G28" s="6"/>
    </row>
    <row r="29" spans="2:8" ht="32.25" customHeight="1" thickTop="1">
      <c r="B29" s="700" t="s">
        <v>194</v>
      </c>
      <c r="C29" s="701"/>
      <c r="D29" s="701"/>
      <c r="E29" s="701"/>
      <c r="F29" s="701"/>
      <c r="G29" s="701"/>
      <c r="H29" s="701"/>
    </row>
    <row r="30" spans="2:3" ht="20.25">
      <c r="B30" s="381" t="s">
        <v>179</v>
      </c>
      <c r="C30" s="381"/>
    </row>
  </sheetData>
  <sheetProtection/>
  <mergeCells count="4">
    <mergeCell ref="B29:H29"/>
    <mergeCell ref="B2:H2"/>
    <mergeCell ref="B3:H3"/>
    <mergeCell ref="I2:K4"/>
  </mergeCells>
  <hyperlinks>
    <hyperlink ref="B29:H29" r:id="rId1" display="The items listed above are some commonly used items.  The above list is not all inclusive.  Additional standard items can be located in the Measurement and Payment Document located on the UDOT website at http://udot.utah.gov/main/f?p=100:pg:0:::1:T,V:3687"/>
    <hyperlink ref="B30" r:id="rId2" display="Structures Cost Data is found on the UDOT Estimator's Corner Website"/>
    <hyperlink ref="H27" location="Main!A1" display="MAIN"/>
  </hyperlinks>
  <printOptions horizontalCentered="1"/>
  <pageMargins left="0.25" right="0.25" top="0.75" bottom="0.75" header="0.3" footer="0.3"/>
  <pageSetup blackAndWhite="1" fitToHeight="1" fitToWidth="1" horizontalDpi="600" verticalDpi="600" orientation="landscape" r:id="rId5"/>
  <headerFooter alignWithMargins="0">
    <oddFooter>&amp;L&amp;D&amp;CPage &amp;P of &amp;N&amp;RConcept Level Est Form 
Form 4</oddFooter>
  </headerFooter>
  <legacyDrawing r:id="rId4"/>
</worksheet>
</file>

<file path=xl/worksheets/sheet7.xml><?xml version="1.0" encoding="utf-8"?>
<worksheet xmlns="http://schemas.openxmlformats.org/spreadsheetml/2006/main" xmlns:r="http://schemas.openxmlformats.org/officeDocument/2006/relationships">
  <sheetPr codeName="Sheet8">
    <pageSetUpPr fitToPage="1"/>
  </sheetPr>
  <dimension ref="B2:AG26"/>
  <sheetViews>
    <sheetView zoomScalePageLayoutView="55" workbookViewId="0" topLeftCell="A1">
      <selection activeCell="H23" sqref="B2:H23"/>
    </sheetView>
  </sheetViews>
  <sheetFormatPr defaultColWidth="9.140625" defaultRowHeight="12.75"/>
  <cols>
    <col min="1" max="1" width="9.140625" style="93" customWidth="1"/>
    <col min="2" max="2" width="14.28125" style="93" customWidth="1"/>
    <col min="3" max="3" width="44.8515625" style="93" bestFit="1" customWidth="1"/>
    <col min="4" max="4" width="10.421875" style="93" bestFit="1" customWidth="1"/>
    <col min="5" max="5" width="9.7109375" style="93" customWidth="1"/>
    <col min="6" max="6" width="13.421875" style="93" bestFit="1" customWidth="1"/>
    <col min="7" max="7" width="15.7109375" style="93" bestFit="1" customWidth="1"/>
    <col min="8" max="8" width="26.7109375" style="93" customWidth="1"/>
    <col min="9" max="9" width="13.7109375" style="93" customWidth="1"/>
    <col min="10" max="16384" width="9.140625" style="93" customWidth="1"/>
  </cols>
  <sheetData>
    <row r="1" ht="12.75"/>
    <row r="2" spans="2:11" ht="25.5" customHeight="1">
      <c r="B2" s="648" t="s">
        <v>118</v>
      </c>
      <c r="C2" s="648"/>
      <c r="D2" s="648"/>
      <c r="E2" s="648"/>
      <c r="F2" s="648"/>
      <c r="G2" s="648"/>
      <c r="H2" s="648"/>
      <c r="I2" s="675" t="s">
        <v>2524</v>
      </c>
      <c r="J2" s="675"/>
      <c r="K2" s="675"/>
    </row>
    <row r="3" spans="2:33" ht="15" customHeight="1">
      <c r="B3" s="696" t="str">
        <f>Main!B2</f>
        <v>PROJECT NAME:  </v>
      </c>
      <c r="C3" s="696"/>
      <c r="D3" s="696"/>
      <c r="E3" s="696"/>
      <c r="F3" s="696"/>
      <c r="G3" s="696"/>
      <c r="H3" s="696"/>
      <c r="I3" s="675"/>
      <c r="J3" s="675"/>
      <c r="K3" s="675"/>
      <c r="L3" s="387"/>
      <c r="M3" s="387"/>
      <c r="N3" s="387"/>
      <c r="O3" s="387"/>
      <c r="P3" s="387"/>
      <c r="Q3" s="387"/>
      <c r="R3" s="387"/>
      <c r="S3" s="387"/>
      <c r="T3" s="387"/>
      <c r="U3" s="387"/>
      <c r="V3" s="387"/>
      <c r="W3" s="387"/>
      <c r="X3" s="387"/>
      <c r="Y3" s="387"/>
      <c r="Z3" s="387"/>
      <c r="AA3" s="387"/>
      <c r="AB3" s="387"/>
      <c r="AC3" s="387"/>
      <c r="AD3" s="387"/>
      <c r="AE3" s="94"/>
      <c r="AF3" s="94"/>
      <c r="AG3" s="94"/>
    </row>
    <row r="4" spans="2:11" ht="26.25" thickBot="1">
      <c r="B4" s="110"/>
      <c r="I4" s="675"/>
      <c r="J4" s="675"/>
      <c r="K4" s="675"/>
    </row>
    <row r="5" spans="2:8" ht="18.75" customHeight="1" thickBot="1" thickTop="1">
      <c r="B5" s="114" t="s">
        <v>14</v>
      </c>
      <c r="C5" s="115" t="s">
        <v>4</v>
      </c>
      <c r="D5" s="115" t="s">
        <v>5</v>
      </c>
      <c r="E5" s="115" t="s">
        <v>7</v>
      </c>
      <c r="F5" s="115" t="s">
        <v>6</v>
      </c>
      <c r="G5" s="115" t="s">
        <v>8</v>
      </c>
      <c r="H5" s="116" t="s">
        <v>9</v>
      </c>
    </row>
    <row r="6" spans="2:8" ht="12.75">
      <c r="B6" s="306"/>
      <c r="C6" s="124"/>
      <c r="D6" s="127"/>
      <c r="E6" s="124"/>
      <c r="F6" s="152"/>
      <c r="G6" s="154"/>
      <c r="H6" s="125"/>
    </row>
    <row r="7" spans="2:8" ht="12.75" customHeight="1">
      <c r="B7" s="307" t="s">
        <v>117</v>
      </c>
      <c r="C7" s="42"/>
      <c r="D7" s="127"/>
      <c r="E7" s="42"/>
      <c r="F7" s="152"/>
      <c r="G7" s="163"/>
      <c r="H7" s="20"/>
    </row>
    <row r="8" spans="2:8" ht="18">
      <c r="B8" s="388"/>
      <c r="C8" s="42" t="s">
        <v>307</v>
      </c>
      <c r="D8" s="128">
        <v>1</v>
      </c>
      <c r="E8" s="69" t="s">
        <v>13</v>
      </c>
      <c r="F8" s="633"/>
      <c r="G8" s="163">
        <f>IF(OR(D8="",F8=""),"",F8*D8)</f>
      </c>
      <c r="H8" s="44"/>
    </row>
    <row r="9" spans="2:8" ht="18">
      <c r="B9" s="388"/>
      <c r="C9" s="42" t="s">
        <v>308</v>
      </c>
      <c r="D9" s="632"/>
      <c r="E9" s="69" t="s">
        <v>11</v>
      </c>
      <c r="F9" s="633"/>
      <c r="G9" s="163">
        <f>IF(OR(D9="",F9=""),"",F9*D9)</f>
      </c>
      <c r="H9" s="59"/>
    </row>
    <row r="10" spans="2:8" ht="12.75">
      <c r="B10" s="316"/>
      <c r="C10" s="42"/>
      <c r="D10" s="127"/>
      <c r="E10" s="69"/>
      <c r="F10" s="635"/>
      <c r="G10" s="163"/>
      <c r="H10" s="59"/>
    </row>
    <row r="11" spans="2:8" ht="15.75">
      <c r="B11" s="307" t="s">
        <v>309</v>
      </c>
      <c r="C11" s="42"/>
      <c r="D11" s="127"/>
      <c r="E11" s="69"/>
      <c r="F11" s="635"/>
      <c r="G11" s="163"/>
      <c r="H11" s="59"/>
    </row>
    <row r="12" spans="2:8" ht="18">
      <c r="B12" s="388" t="str">
        <f>VLOOKUP(C12,'Item List'!$A$2:$B$1105,2,FALSE)</f>
        <v>015710030</v>
      </c>
      <c r="C12" s="42" t="s">
        <v>310</v>
      </c>
      <c r="D12" s="632"/>
      <c r="E12" s="69" t="str">
        <f>VLOOKUP(B12,'Item List'!$B$2:$C$1105,2,FALSE)</f>
        <v>ft</v>
      </c>
      <c r="F12" s="633"/>
      <c r="G12" s="163">
        <f>IF(OR(D12="",F12=""),"",F12*D12)</f>
      </c>
      <c r="H12" s="59"/>
    </row>
    <row r="13" spans="2:8" ht="18">
      <c r="B13" s="388"/>
      <c r="C13" s="40" t="s">
        <v>311</v>
      </c>
      <c r="D13" s="128">
        <v>1</v>
      </c>
      <c r="E13" s="69" t="s">
        <v>13</v>
      </c>
      <c r="F13" s="633"/>
      <c r="G13" s="163">
        <f>IF(OR(D13="",F13=""),"",F13*D13)</f>
      </c>
      <c r="H13" s="59"/>
    </row>
    <row r="14" spans="2:8" ht="18">
      <c r="B14" s="388"/>
      <c r="C14" s="42" t="s">
        <v>312</v>
      </c>
      <c r="D14" s="632"/>
      <c r="E14" s="69" t="s">
        <v>12</v>
      </c>
      <c r="F14" s="633"/>
      <c r="G14" s="163">
        <f>IF(OR(D14="",F14=""),"",F14*D14)</f>
      </c>
      <c r="H14" s="59"/>
    </row>
    <row r="15" spans="2:8" ht="12.75">
      <c r="B15" s="316"/>
      <c r="C15" s="40"/>
      <c r="D15" s="127"/>
      <c r="E15" s="69"/>
      <c r="F15" s="635"/>
      <c r="G15" s="163"/>
      <c r="H15" s="59"/>
    </row>
    <row r="16" spans="2:8" ht="15.75">
      <c r="B16" s="307" t="s">
        <v>313</v>
      </c>
      <c r="C16" s="40"/>
      <c r="D16" s="127"/>
      <c r="E16" s="69"/>
      <c r="F16" s="635"/>
      <c r="G16" s="163"/>
      <c r="H16" s="59"/>
    </row>
    <row r="17" spans="2:8" ht="18">
      <c r="B17" s="388" t="str">
        <f>VLOOKUP(C17,'Item List'!$A$2:$B$1105,2,FALSE)</f>
        <v>029110010</v>
      </c>
      <c r="C17" s="40" t="s">
        <v>314</v>
      </c>
      <c r="D17" s="632"/>
      <c r="E17" s="69" t="str">
        <f>VLOOKUP(B17,'Item List'!$B$2:$C$1105,2,FALSE)</f>
        <v>Acre</v>
      </c>
      <c r="F17" s="633"/>
      <c r="G17" s="163">
        <f>IF(OR(D17="",F17=""),"",F17*D17)</f>
      </c>
      <c r="H17" s="59"/>
    </row>
    <row r="18" spans="2:8" ht="18">
      <c r="B18" s="388" t="str">
        <f>VLOOKUP(C18,'Item List'!$A$2:$B$1105,2,FALSE)</f>
        <v>029120010</v>
      </c>
      <c r="C18" s="40" t="s">
        <v>315</v>
      </c>
      <c r="D18" s="632"/>
      <c r="E18" s="69" t="str">
        <f>VLOOKUP(B18,'Item List'!$B$2:$C$1105,2,FALSE)</f>
        <v>sq yd</v>
      </c>
      <c r="F18" s="633"/>
      <c r="G18" s="163">
        <f>IF(OR(D18="",F18=""),"",F18*D18)</f>
      </c>
      <c r="H18" s="59"/>
    </row>
    <row r="19" spans="2:8" ht="18">
      <c r="B19" s="388" t="str">
        <f>VLOOKUP(C19,'Item List'!$A$2:$B$1105,2,FALSE)</f>
        <v>029120050</v>
      </c>
      <c r="C19" s="40" t="s">
        <v>2139</v>
      </c>
      <c r="D19" s="632"/>
      <c r="E19" s="69" t="str">
        <f>VLOOKUP(B19,'Item List'!$B$2:$C$1105,2,FALSE)</f>
        <v>sq yd</v>
      </c>
      <c r="F19" s="633"/>
      <c r="G19" s="163">
        <f>IF(OR(D19="",F19=""),"",F19*D19)</f>
      </c>
      <c r="H19" s="59"/>
    </row>
    <row r="20" spans="2:8" ht="18">
      <c r="B20" s="388" t="str">
        <f>VLOOKUP(C20,'Item List'!$A$2:$B$1105,2,FALSE)</f>
        <v>029220010</v>
      </c>
      <c r="C20" s="40" t="s">
        <v>316</v>
      </c>
      <c r="D20" s="632"/>
      <c r="E20" s="69" t="str">
        <f>VLOOKUP(B20,'Item List'!$B$2:$C$1105,2,FALSE)</f>
        <v>Acre</v>
      </c>
      <c r="F20" s="633"/>
      <c r="G20" s="163">
        <f>IF(OR(D20="",F20=""),"",F20*D20)</f>
      </c>
      <c r="H20" s="59"/>
    </row>
    <row r="21" spans="2:8" ht="18">
      <c r="B21" s="388" t="str">
        <f>VLOOKUP(C21,'Item List'!$A$2:$B$1105,2,FALSE)</f>
        <v>029220030</v>
      </c>
      <c r="C21" s="40" t="s">
        <v>317</v>
      </c>
      <c r="D21" s="632"/>
      <c r="E21" s="69" t="str">
        <f>VLOOKUP(B21,'Item List'!$B$2:$C$1105,2,FALSE)</f>
        <v>Acre</v>
      </c>
      <c r="F21" s="633"/>
      <c r="G21" s="163">
        <f>IF(OR(D21="",F21=""),"",F21*D21)</f>
      </c>
      <c r="H21" s="59"/>
    </row>
    <row r="22" spans="2:8" ht="12.75" customHeight="1" thickBot="1">
      <c r="B22" s="316"/>
      <c r="C22" s="21"/>
      <c r="D22" s="127"/>
      <c r="E22" s="31"/>
      <c r="F22" s="152"/>
      <c r="G22" s="167"/>
      <c r="H22" s="22"/>
    </row>
    <row r="23" spans="2:8" ht="17.25" thickBot="1" thickTop="1">
      <c r="B23" s="314" t="s">
        <v>187</v>
      </c>
      <c r="C23" s="68"/>
      <c r="D23" s="139"/>
      <c r="E23" s="32"/>
      <c r="F23" s="159"/>
      <c r="G23" s="151">
        <f>ROUND(SUM(G8:G22),2)</f>
        <v>0</v>
      </c>
      <c r="H23" s="23"/>
    </row>
    <row r="24" spans="2:8" ht="15.75" thickTop="1">
      <c r="B24" s="2"/>
      <c r="C24" s="3"/>
      <c r="D24" s="3"/>
      <c r="E24" s="4"/>
      <c r="F24" s="5"/>
      <c r="G24" s="6"/>
      <c r="H24" s="123" t="s">
        <v>136</v>
      </c>
    </row>
    <row r="25" ht="13.5" thickBot="1"/>
    <row r="26" spans="2:8" ht="28.5" customHeight="1" thickTop="1">
      <c r="B26" s="700" t="s">
        <v>194</v>
      </c>
      <c r="C26" s="701"/>
      <c r="D26" s="701"/>
      <c r="E26" s="701"/>
      <c r="F26" s="701"/>
      <c r="G26" s="701"/>
      <c r="H26" s="701"/>
    </row>
  </sheetData>
  <sheetProtection/>
  <mergeCells count="4">
    <mergeCell ref="B26:H26"/>
    <mergeCell ref="B2:H2"/>
    <mergeCell ref="B3:H3"/>
    <mergeCell ref="I2:K4"/>
  </mergeCells>
  <hyperlinks>
    <hyperlink ref="B26:H26" r:id="rId1" display="The items listed above are some commonly used items.  The above list is not all inclusive.  Additional standard items can be located in the Measurement and Payment Document located on the UDOT website at http://udot.utah.gov/main/f?p=100:pg:0:::1:T,V:3687"/>
    <hyperlink ref="H24" location="Main!A1" display="MAIN"/>
  </hyperlinks>
  <printOptions horizontalCentered="1"/>
  <pageMargins left="0.25" right="0.25" top="0.75" bottom="0.75" header="0.3" footer="0.3"/>
  <pageSetup blackAndWhite="1" fitToHeight="1" fitToWidth="1" horizontalDpi="600" verticalDpi="600" orientation="landscape" r:id="rId4"/>
  <headerFooter alignWithMargins="0">
    <oddFooter>&amp;L&amp;D&amp;CPage &amp;P of &amp;N&amp;RConcept Level Est Form 
Form 5</oddFooter>
  </headerFooter>
  <legacyDrawing r:id="rId3"/>
</worksheet>
</file>

<file path=xl/worksheets/sheet8.xml><?xml version="1.0" encoding="utf-8"?>
<worksheet xmlns="http://schemas.openxmlformats.org/spreadsheetml/2006/main" xmlns:r="http://schemas.openxmlformats.org/officeDocument/2006/relationships">
  <sheetPr codeName="Sheet9">
    <pageSetUpPr fitToPage="1"/>
  </sheetPr>
  <dimension ref="A2:AE54"/>
  <sheetViews>
    <sheetView zoomScalePageLayoutView="55" workbookViewId="0" topLeftCell="A16">
      <selection activeCell="B2" sqref="B2:I51"/>
    </sheetView>
  </sheetViews>
  <sheetFormatPr defaultColWidth="9.140625" defaultRowHeight="12.75"/>
  <cols>
    <col min="1" max="1" width="9.140625" style="93" customWidth="1"/>
    <col min="2" max="2" width="14.00390625" style="93" customWidth="1"/>
    <col min="3" max="3" width="33.8515625" style="93" bestFit="1" customWidth="1"/>
    <col min="4" max="4" width="11.57421875" style="93" bestFit="1" customWidth="1"/>
    <col min="5" max="5" width="8.8515625" style="93" customWidth="1"/>
    <col min="6" max="6" width="17.8515625" style="424" customWidth="1"/>
    <col min="7" max="7" width="18.57421875" style="424" customWidth="1"/>
    <col min="8" max="8" width="20.140625" style="424" customWidth="1"/>
    <col min="9" max="9" width="26.7109375" style="93" customWidth="1"/>
    <col min="10" max="10" width="13.7109375" style="93" customWidth="1"/>
    <col min="11" max="16384" width="9.140625" style="93" customWidth="1"/>
  </cols>
  <sheetData>
    <row r="1" ht="12.75"/>
    <row r="2" spans="2:12" ht="25.5" customHeight="1">
      <c r="B2" s="648" t="s">
        <v>190</v>
      </c>
      <c r="C2" s="648"/>
      <c r="D2" s="648"/>
      <c r="E2" s="648"/>
      <c r="F2" s="648"/>
      <c r="G2" s="648"/>
      <c r="H2" s="648"/>
      <c r="I2" s="648"/>
      <c r="J2" s="675" t="s">
        <v>2524</v>
      </c>
      <c r="K2" s="675"/>
      <c r="L2" s="675"/>
    </row>
    <row r="3" spans="2:31" ht="15" customHeight="1">
      <c r="B3" s="696" t="str">
        <f>Main!B2</f>
        <v>PROJECT NAME:  </v>
      </c>
      <c r="C3" s="696"/>
      <c r="D3" s="696"/>
      <c r="E3" s="696"/>
      <c r="F3" s="696"/>
      <c r="G3" s="696"/>
      <c r="H3" s="696"/>
      <c r="I3" s="696"/>
      <c r="J3" s="675"/>
      <c r="K3" s="675"/>
      <c r="L3" s="675"/>
      <c r="M3" s="387"/>
      <c r="N3" s="387"/>
      <c r="O3" s="387"/>
      <c r="P3" s="387"/>
      <c r="Q3" s="387"/>
      <c r="R3" s="387"/>
      <c r="S3" s="387"/>
      <c r="T3" s="387"/>
      <c r="U3" s="387"/>
      <c r="V3" s="387"/>
      <c r="W3" s="387"/>
      <c r="X3" s="387"/>
      <c r="Y3" s="387"/>
      <c r="Z3" s="387"/>
      <c r="AA3" s="387"/>
      <c r="AB3" s="387"/>
      <c r="AC3" s="387"/>
      <c r="AD3" s="387"/>
      <c r="AE3" s="387"/>
    </row>
    <row r="4" spans="1:12" ht="43.5" customHeight="1" thickBot="1">
      <c r="A4" s="93"/>
      <c r="B4" s="744" t="s">
        <v>2494</v>
      </c>
      <c r="C4" s="744"/>
      <c r="D4" s="744"/>
      <c r="E4" s="744"/>
      <c r="F4" s="744"/>
      <c r="G4" s="744"/>
      <c r="H4" s="744"/>
      <c r="I4" s="744"/>
      <c r="J4" s="675"/>
      <c r="K4" s="675"/>
      <c r="L4" s="675"/>
    </row>
    <row r="5" spans="2:9" ht="18.75" customHeight="1" thickBot="1">
      <c r="B5" s="480" t="s">
        <v>14</v>
      </c>
      <c r="C5" s="481" t="s">
        <v>4</v>
      </c>
      <c r="D5" s="481" t="s">
        <v>5</v>
      </c>
      <c r="E5" s="481" t="s">
        <v>7</v>
      </c>
      <c r="F5" s="489" t="s">
        <v>6</v>
      </c>
      <c r="G5" s="482" t="s">
        <v>8</v>
      </c>
      <c r="H5" s="483" t="s">
        <v>2480</v>
      </c>
      <c r="I5" s="484" t="s">
        <v>9</v>
      </c>
    </row>
    <row r="6" spans="2:9" ht="13.5" customHeight="1">
      <c r="B6" s="722" t="s">
        <v>2481</v>
      </c>
      <c r="C6" s="716" t="s">
        <v>2482</v>
      </c>
      <c r="D6" s="716"/>
      <c r="E6" s="716"/>
      <c r="F6" s="716"/>
      <c r="G6" s="716"/>
      <c r="H6" s="717"/>
      <c r="I6" s="718"/>
    </row>
    <row r="7" spans="2:9" ht="13.5" customHeight="1">
      <c r="B7" s="723"/>
      <c r="C7" s="719"/>
      <c r="D7" s="719"/>
      <c r="E7" s="719"/>
      <c r="F7" s="719"/>
      <c r="G7" s="719"/>
      <c r="H7" s="720"/>
      <c r="I7" s="721"/>
    </row>
    <row r="8" spans="2:9" ht="13.5" customHeight="1">
      <c r="B8" s="724"/>
      <c r="C8" s="719"/>
      <c r="D8" s="719"/>
      <c r="E8" s="719"/>
      <c r="F8" s="719"/>
      <c r="G8" s="719"/>
      <c r="H8" s="720"/>
      <c r="I8" s="721"/>
    </row>
    <row r="9" spans="2:11" ht="18">
      <c r="B9" s="445"/>
      <c r="C9" s="40" t="s">
        <v>305</v>
      </c>
      <c r="D9" s="128">
        <v>1</v>
      </c>
      <c r="E9" s="19" t="s">
        <v>13</v>
      </c>
      <c r="F9" s="633">
        <v>0</v>
      </c>
      <c r="G9" s="432">
        <f>IF(OR(D9="",F9=""),"",F9*D9)</f>
        <v>0</v>
      </c>
      <c r="H9" s="433">
        <f>+IF(Main!$G$10="State",'Util-RW-Inc'!G9*0.5,0)</f>
        <v>0</v>
      </c>
      <c r="I9" s="446"/>
      <c r="K9" s="107" t="s">
        <v>192</v>
      </c>
    </row>
    <row r="10" spans="2:9" ht="18">
      <c r="B10" s="447"/>
      <c r="C10" s="27" t="s">
        <v>120</v>
      </c>
      <c r="D10" s="128">
        <v>1</v>
      </c>
      <c r="E10" s="19" t="s">
        <v>13</v>
      </c>
      <c r="F10" s="633">
        <v>0</v>
      </c>
      <c r="G10" s="432">
        <f>IF(OR(D10="",F10=""),"",F10*D10)</f>
        <v>0</v>
      </c>
      <c r="H10" s="433">
        <f>+IF(Main!$G$10="State",'Util-RW-Inc'!G10*0.5,0)</f>
        <v>0</v>
      </c>
      <c r="I10" s="446"/>
    </row>
    <row r="11" spans="2:9" ht="18">
      <c r="B11" s="445"/>
      <c r="C11" s="27" t="s">
        <v>121</v>
      </c>
      <c r="D11" s="128">
        <v>1</v>
      </c>
      <c r="E11" s="19" t="s">
        <v>13</v>
      </c>
      <c r="F11" s="633">
        <v>0</v>
      </c>
      <c r="G11" s="432">
        <f>IF(OR(D11="",F11=""),"",F11*D11)</f>
        <v>0</v>
      </c>
      <c r="H11" s="433">
        <f>+IF(Main!$G$10="State",'Util-RW-Inc'!G11*0.5,0)</f>
        <v>0</v>
      </c>
      <c r="I11" s="446"/>
    </row>
    <row r="12" spans="2:9" ht="18">
      <c r="B12" s="445"/>
      <c r="C12" s="27" t="s">
        <v>122</v>
      </c>
      <c r="D12" s="128">
        <v>1</v>
      </c>
      <c r="E12" s="19" t="s">
        <v>13</v>
      </c>
      <c r="F12" s="633">
        <v>0</v>
      </c>
      <c r="G12" s="432">
        <f>IF(OR(D12="",F12=""),"",F12*D12)</f>
        <v>0</v>
      </c>
      <c r="H12" s="433">
        <f>+IF(Main!$G$10="State",'Util-RW-Inc'!G12*0.5,0)</f>
        <v>0</v>
      </c>
      <c r="I12" s="446"/>
    </row>
    <row r="13" spans="2:9" ht="18">
      <c r="B13" s="445"/>
      <c r="C13" s="27" t="s">
        <v>123</v>
      </c>
      <c r="D13" s="128">
        <v>1</v>
      </c>
      <c r="E13" s="19" t="s">
        <v>13</v>
      </c>
      <c r="F13" s="633">
        <v>0</v>
      </c>
      <c r="G13" s="432">
        <f>IF(OR(D13="",F13=""),"",F13*D13)</f>
        <v>0</v>
      </c>
      <c r="H13" s="433">
        <f>+IF(Main!$G$10="State",'Util-RW-Inc'!G13*0.5,0)</f>
        <v>0</v>
      </c>
      <c r="I13" s="446"/>
    </row>
    <row r="14" spans="2:9" ht="13.5" thickBot="1">
      <c r="B14" s="448"/>
      <c r="C14" s="26"/>
      <c r="D14" s="168"/>
      <c r="E14" s="31"/>
      <c r="F14" s="461" t="s">
        <v>192</v>
      </c>
      <c r="G14" s="430"/>
      <c r="H14" s="426"/>
      <c r="I14" s="449"/>
    </row>
    <row r="15" spans="2:9" ht="17.25" thickBot="1" thickTop="1">
      <c r="B15" s="704" t="s">
        <v>2487</v>
      </c>
      <c r="C15" s="705"/>
      <c r="D15" s="725" t="s">
        <v>2488</v>
      </c>
      <c r="E15" s="725"/>
      <c r="F15" s="725"/>
      <c r="G15" s="451">
        <f>+SUM(G9:G13)</f>
        <v>0</v>
      </c>
      <c r="H15" s="452">
        <f>ROUND(SUM(H9:H14),2)</f>
        <v>0</v>
      </c>
      <c r="I15" s="453"/>
    </row>
    <row r="16" spans="2:9" ht="6" customHeight="1" thickBot="1">
      <c r="B16" s="440"/>
      <c r="C16" s="477"/>
      <c r="D16" s="443"/>
      <c r="E16" s="443"/>
      <c r="F16" s="443"/>
      <c r="G16" s="444"/>
      <c r="H16" s="478"/>
      <c r="I16" s="479"/>
    </row>
    <row r="17" spans="2:9" ht="12" customHeight="1">
      <c r="B17" s="726" t="s">
        <v>2489</v>
      </c>
      <c r="C17" s="729" t="s">
        <v>2490</v>
      </c>
      <c r="D17" s="730"/>
      <c r="E17" s="730"/>
      <c r="F17" s="730"/>
      <c r="G17" s="731"/>
      <c r="H17" s="738" t="s">
        <v>9</v>
      </c>
      <c r="I17" s="739"/>
    </row>
    <row r="18" spans="2:9" ht="12" customHeight="1">
      <c r="B18" s="727"/>
      <c r="C18" s="732"/>
      <c r="D18" s="733"/>
      <c r="E18" s="733"/>
      <c r="F18" s="733"/>
      <c r="G18" s="734"/>
      <c r="H18" s="740"/>
      <c r="I18" s="741"/>
    </row>
    <row r="19" spans="2:9" ht="12" customHeight="1">
      <c r="B19" s="728"/>
      <c r="C19" s="735"/>
      <c r="D19" s="736"/>
      <c r="E19" s="736"/>
      <c r="F19" s="736"/>
      <c r="G19" s="737"/>
      <c r="H19" s="742"/>
      <c r="I19" s="743"/>
    </row>
    <row r="20" spans="2:9" ht="18">
      <c r="B20" s="454"/>
      <c r="C20" s="40" t="s">
        <v>305</v>
      </c>
      <c r="D20" s="436">
        <v>1</v>
      </c>
      <c r="E20" s="41" t="s">
        <v>13</v>
      </c>
      <c r="F20" s="633">
        <v>0</v>
      </c>
      <c r="G20" s="435">
        <f>IF(OR(D20="",F20=""),"",F20*D20)</f>
        <v>0</v>
      </c>
      <c r="H20" s="702"/>
      <c r="I20" s="703"/>
    </row>
    <row r="21" spans="2:9" ht="18">
      <c r="B21" s="455"/>
      <c r="C21" s="40" t="s">
        <v>120</v>
      </c>
      <c r="D21" s="436">
        <v>1</v>
      </c>
      <c r="E21" s="41" t="s">
        <v>13</v>
      </c>
      <c r="F21" s="633">
        <v>0</v>
      </c>
      <c r="G21" s="435">
        <f>IF(OR(D21="",F21=""),"",F21*D21)</f>
        <v>0</v>
      </c>
      <c r="H21" s="702"/>
      <c r="I21" s="703"/>
    </row>
    <row r="22" spans="2:9" ht="18">
      <c r="B22" s="454"/>
      <c r="C22" s="40" t="s">
        <v>121</v>
      </c>
      <c r="D22" s="436">
        <v>1</v>
      </c>
      <c r="E22" s="41" t="s">
        <v>13</v>
      </c>
      <c r="F22" s="633">
        <v>0</v>
      </c>
      <c r="G22" s="435">
        <f>IF(OR(D22="",F22=""),"",F22*D22)</f>
        <v>0</v>
      </c>
      <c r="H22" s="702"/>
      <c r="I22" s="703"/>
    </row>
    <row r="23" spans="2:9" ht="18">
      <c r="B23" s="454"/>
      <c r="C23" s="40" t="s">
        <v>122</v>
      </c>
      <c r="D23" s="436">
        <v>1</v>
      </c>
      <c r="E23" s="41" t="s">
        <v>13</v>
      </c>
      <c r="F23" s="633">
        <v>0</v>
      </c>
      <c r="G23" s="435">
        <f>IF(OR(D23="",F23=""),"",F23*D23)</f>
        <v>0</v>
      </c>
      <c r="H23" s="702"/>
      <c r="I23" s="703"/>
    </row>
    <row r="24" spans="2:9" ht="18">
      <c r="B24" s="454"/>
      <c r="C24" s="40" t="s">
        <v>123</v>
      </c>
      <c r="D24" s="436">
        <v>1</v>
      </c>
      <c r="E24" s="41" t="s">
        <v>13</v>
      </c>
      <c r="F24" s="633">
        <v>0</v>
      </c>
      <c r="G24" s="435">
        <f>IF(OR(D24="",F24=""),"",F24*D24)</f>
        <v>0</v>
      </c>
      <c r="H24" s="702"/>
      <c r="I24" s="703"/>
    </row>
    <row r="25" spans="2:9" ht="13.5" thickBot="1">
      <c r="B25" s="456"/>
      <c r="C25" s="437"/>
      <c r="D25" s="438"/>
      <c r="E25" s="439"/>
      <c r="F25" s="434"/>
      <c r="G25" s="164"/>
      <c r="H25" s="714"/>
      <c r="I25" s="715"/>
    </row>
    <row r="26" spans="2:9" ht="17.25" thickBot="1" thickTop="1">
      <c r="B26" s="704" t="s">
        <v>2491</v>
      </c>
      <c r="C26" s="705"/>
      <c r="D26" s="457"/>
      <c r="E26" s="458"/>
      <c r="F26" s="459"/>
      <c r="G26" s="460">
        <f>ROUND(SUM(G20:G25),2)</f>
        <v>0</v>
      </c>
      <c r="H26" s="745"/>
      <c r="I26" s="746"/>
    </row>
    <row r="27" spans="2:9" ht="6" customHeight="1" thickBot="1">
      <c r="B27" s="440"/>
      <c r="C27" s="440"/>
      <c r="D27" s="440"/>
      <c r="E27" s="440"/>
      <c r="F27" s="440"/>
      <c r="G27" s="440"/>
      <c r="H27" s="440"/>
      <c r="I27" s="440"/>
    </row>
    <row r="28" spans="2:9" ht="16.5" thickBot="1">
      <c r="B28" s="708" t="s">
        <v>2492</v>
      </c>
      <c r="C28" s="709"/>
      <c r="D28" s="485"/>
      <c r="E28" s="486"/>
      <c r="F28" s="487"/>
      <c r="G28" s="488">
        <f>ROUND(SUM(H15+G26),2)</f>
        <v>0</v>
      </c>
      <c r="H28" s="710"/>
      <c r="I28" s="711"/>
    </row>
    <row r="29" spans="2:9" ht="6" customHeight="1" thickBot="1">
      <c r="B29" s="440"/>
      <c r="C29" s="442"/>
      <c r="D29" s="443"/>
      <c r="E29" s="443"/>
      <c r="F29" s="443"/>
      <c r="G29" s="444"/>
      <c r="H29" s="441"/>
      <c r="I29" s="479"/>
    </row>
    <row r="30" spans="2:9" ht="12.75">
      <c r="B30" s="462"/>
      <c r="C30" s="463"/>
      <c r="D30" s="464"/>
      <c r="E30" s="465"/>
      <c r="F30" s="466"/>
      <c r="G30" s="467"/>
      <c r="H30" s="712"/>
      <c r="I30" s="713"/>
    </row>
    <row r="31" spans="2:9" ht="15.75">
      <c r="B31" s="468" t="s">
        <v>124</v>
      </c>
      <c r="C31" s="35"/>
      <c r="D31" s="127"/>
      <c r="E31" s="65"/>
      <c r="F31" s="66"/>
      <c r="G31" s="428"/>
      <c r="H31" s="702"/>
      <c r="I31" s="703"/>
    </row>
    <row r="32" spans="2:9" ht="18">
      <c r="B32" s="445"/>
      <c r="C32" s="27" t="s">
        <v>143</v>
      </c>
      <c r="D32" s="634"/>
      <c r="E32" s="19" t="s">
        <v>113</v>
      </c>
      <c r="F32" s="633"/>
      <c r="G32" s="428">
        <f>IF(OR(D32="",F32=""),"",F32*D32)</f>
      </c>
      <c r="H32" s="702"/>
      <c r="I32" s="703"/>
    </row>
    <row r="33" spans="2:9" ht="18">
      <c r="B33" s="445"/>
      <c r="C33" s="27" t="s">
        <v>144</v>
      </c>
      <c r="D33" s="634"/>
      <c r="E33" s="19" t="s">
        <v>113</v>
      </c>
      <c r="F33" s="633"/>
      <c r="G33" s="428">
        <f>IF(OR(D33="",F33=""),"",F33*D33)</f>
      </c>
      <c r="H33" s="702"/>
      <c r="I33" s="703"/>
    </row>
    <row r="34" spans="2:9" ht="18">
      <c r="B34" s="469"/>
      <c r="C34" s="27" t="s">
        <v>145</v>
      </c>
      <c r="D34" s="634"/>
      <c r="E34" s="41" t="s">
        <v>12</v>
      </c>
      <c r="F34" s="633"/>
      <c r="G34" s="428">
        <f>IF(OR(D34="",F34=""),"",F34*D34)</f>
      </c>
      <c r="H34" s="702"/>
      <c r="I34" s="703"/>
    </row>
    <row r="35" spans="2:9" ht="18">
      <c r="B35" s="470"/>
      <c r="C35" s="27" t="s">
        <v>146</v>
      </c>
      <c r="D35" s="634"/>
      <c r="E35" s="19" t="s">
        <v>113</v>
      </c>
      <c r="F35" s="633"/>
      <c r="G35" s="428">
        <f>IF(OR(D35="",F35=""),"",F35*D35)</f>
      </c>
      <c r="H35" s="702"/>
      <c r="I35" s="703"/>
    </row>
    <row r="36" spans="2:9" ht="18">
      <c r="B36" s="470"/>
      <c r="C36" s="27" t="s">
        <v>147</v>
      </c>
      <c r="D36" s="634"/>
      <c r="E36" s="41" t="s">
        <v>12</v>
      </c>
      <c r="F36" s="633"/>
      <c r="G36" s="428">
        <f>IF(OR(D36="",F36=""),"",F36*D36)</f>
      </c>
      <c r="H36" s="702"/>
      <c r="I36" s="703"/>
    </row>
    <row r="37" spans="2:9" ht="13.5" thickBot="1">
      <c r="B37" s="471"/>
      <c r="C37" s="26"/>
      <c r="D37" s="168"/>
      <c r="E37" s="31"/>
      <c r="F37" s="429"/>
      <c r="G37" s="430"/>
      <c r="H37" s="426"/>
      <c r="I37" s="449"/>
    </row>
    <row r="38" spans="2:9" ht="17.25" thickBot="1" thickTop="1">
      <c r="B38" s="450" t="s">
        <v>128</v>
      </c>
      <c r="C38" s="172"/>
      <c r="D38" s="173"/>
      <c r="E38" s="472"/>
      <c r="F38" s="473"/>
      <c r="G38" s="474">
        <f>ROUND(SUM(G32:G37),2)</f>
        <v>0</v>
      </c>
      <c r="H38" s="475"/>
      <c r="I38" s="453"/>
    </row>
    <row r="39" spans="2:9" ht="6" customHeight="1" thickBot="1">
      <c r="B39" s="440"/>
      <c r="C39" s="477"/>
      <c r="D39" s="443"/>
      <c r="E39" s="443"/>
      <c r="F39" s="443"/>
      <c r="G39" s="444"/>
      <c r="H39" s="478"/>
      <c r="I39" s="479"/>
    </row>
    <row r="40" spans="2:9" ht="12.75">
      <c r="B40" s="462"/>
      <c r="C40" s="463"/>
      <c r="D40" s="464"/>
      <c r="E40" s="465"/>
      <c r="F40" s="466"/>
      <c r="G40" s="467"/>
      <c r="H40" s="712"/>
      <c r="I40" s="713"/>
    </row>
    <row r="41" spans="2:9" ht="15.75">
      <c r="B41" s="468" t="s">
        <v>20</v>
      </c>
      <c r="C41" s="35"/>
      <c r="D41" s="127"/>
      <c r="E41" s="65"/>
      <c r="F41" s="66"/>
      <c r="G41" s="428"/>
      <c r="H41" s="702"/>
      <c r="I41" s="703"/>
    </row>
    <row r="42" spans="2:9" ht="12.75">
      <c r="B42" s="476" t="str">
        <f>VLOOKUP(C42,'Item List'!$A$2:$B$1105,2,FALSE)</f>
        <v>00000601*</v>
      </c>
      <c r="C42" s="27" t="s">
        <v>203</v>
      </c>
      <c r="D42" s="128">
        <f>'Incentive Calculator'!D6</f>
        <v>1</v>
      </c>
      <c r="E42" s="69" t="str">
        <f>VLOOKUP(B42,'Item List'!$B$2:$C$1105,2,FALSE)</f>
        <v>Lump</v>
      </c>
      <c r="F42" s="429">
        <f>IF(OR(D42="",'Incentive Calculator'!J6=0),"",'Incentive Calculator'!J6)</f>
      </c>
      <c r="G42" s="428">
        <f>IF(OR(D42="",F42=""),"",F42*D42)</f>
      </c>
      <c r="H42" s="702"/>
      <c r="I42" s="703"/>
    </row>
    <row r="43" spans="2:9" ht="12.75">
      <c r="B43" s="476" t="str">
        <f>VLOOKUP(C43,'Item List'!$A$2:$B$1105,2,FALSE)</f>
        <v>00000602*</v>
      </c>
      <c r="C43" s="27" t="s">
        <v>204</v>
      </c>
      <c r="D43" s="128">
        <v>1</v>
      </c>
      <c r="E43" s="69" t="str">
        <f>VLOOKUP(B43,'Item List'!$B$2:$C$1105,2,FALSE)</f>
        <v>Lump</v>
      </c>
      <c r="F43" s="429">
        <f>IF(OR(D43="",'Incentive Calculator'!J9+'Incentive Calculator'!J10=0),"",'Incentive Calculator'!J9+'Incentive Calculator'!J10)</f>
      </c>
      <c r="G43" s="428">
        <f aca="true" t="shared" si="0" ref="G43:G49">IF(OR(D43="",F43=""),"",F43*D43)</f>
      </c>
      <c r="H43" s="702"/>
      <c r="I43" s="703"/>
    </row>
    <row r="44" spans="2:9" ht="12.75">
      <c r="B44" s="476" t="str">
        <f>VLOOKUP(C44,'Item List'!$A$2:$B$1105,2,FALSE)</f>
        <v>00000603*</v>
      </c>
      <c r="C44" s="27" t="s">
        <v>205</v>
      </c>
      <c r="D44" s="128">
        <v>1</v>
      </c>
      <c r="E44" s="69" t="str">
        <f>VLOOKUP(B44,'Item List'!$B$2:$C$1105,2,FALSE)</f>
        <v>Lump</v>
      </c>
      <c r="F44" s="429">
        <f>IF(OR(D44="",'Incentive Calculator'!J11=0),"",'Incentive Calculator'!J11)</f>
      </c>
      <c r="G44" s="428">
        <f t="shared" si="0"/>
      </c>
      <c r="H44" s="702"/>
      <c r="I44" s="703"/>
    </row>
    <row r="45" spans="2:9" ht="12.75">
      <c r="B45" s="476" t="str">
        <f>VLOOKUP(C45,'Item List'!$A$2:$B$1105,2,FALSE)</f>
        <v>00000604*</v>
      </c>
      <c r="C45" s="27" t="s">
        <v>206</v>
      </c>
      <c r="D45" s="128">
        <v>1</v>
      </c>
      <c r="E45" s="69" t="str">
        <f>VLOOKUP(B45,'Item List'!$B$2:$C$1105,2,FALSE)</f>
        <v>Lump</v>
      </c>
      <c r="F45" s="429">
        <f>IF(OR(D45="",'Incentive Calculator'!J12+'Incentive Calculator'!J13=0),"",'Incentive Calculator'!J12+'Incentive Calculator'!J13)</f>
      </c>
      <c r="G45" s="428">
        <f t="shared" si="0"/>
      </c>
      <c r="H45" s="702"/>
      <c r="I45" s="703"/>
    </row>
    <row r="46" spans="2:9" ht="12.75">
      <c r="B46" s="476" t="str">
        <f>VLOOKUP(C46,'Item List'!$A$2:$B$1105,2,FALSE)</f>
        <v>00000605*</v>
      </c>
      <c r="C46" s="27" t="s">
        <v>202</v>
      </c>
      <c r="D46" s="128">
        <v>1</v>
      </c>
      <c r="E46" s="69" t="str">
        <f>VLOOKUP(B46,'Item List'!$B$2:$C$1105,2,FALSE)</f>
        <v>Lump</v>
      </c>
      <c r="F46" s="429">
        <f>IF(OR(D46="",'Incentive Calculator'!J14+'Incentive Calculator'!J15=0),"",'Incentive Calculator'!J14+'Incentive Calculator'!J15)</f>
      </c>
      <c r="G46" s="428">
        <f t="shared" si="0"/>
      </c>
      <c r="H46" s="702"/>
      <c r="I46" s="703"/>
    </row>
    <row r="47" spans="2:9" ht="12.75">
      <c r="B47" s="476" t="str">
        <f>VLOOKUP(C47,'Item List'!$A$2:$B$1105,2,FALSE)</f>
        <v>00000606*</v>
      </c>
      <c r="C47" s="27" t="s">
        <v>201</v>
      </c>
      <c r="D47" s="128">
        <f>'Incentive Calculator'!D7</f>
        <v>0</v>
      </c>
      <c r="E47" s="69" t="str">
        <f>VLOOKUP(B47,'Item List'!$B$2:$C$1105,2,FALSE)</f>
        <v>Cal'd</v>
      </c>
      <c r="F47" s="429">
        <f>IF(OR(D47="",'Incentive Calculator'!J7=0),"",'Incentive Calculator'!F7)</f>
      </c>
      <c r="G47" s="428">
        <f>IF(OR(D47="",F47=""),"",F47*D47)</f>
      </c>
      <c r="H47" s="702"/>
      <c r="I47" s="703"/>
    </row>
    <row r="48" spans="2:9" ht="12.75">
      <c r="B48" s="476" t="str">
        <f>VLOOKUP(C48,'Item List'!$A$2:$B$1105,2,FALSE)</f>
        <v>00000607*</v>
      </c>
      <c r="C48" s="25" t="s">
        <v>125</v>
      </c>
      <c r="D48" s="128">
        <f>'Incentive Calculator'!D8</f>
        <v>0</v>
      </c>
      <c r="E48" s="69" t="str">
        <f>VLOOKUP(B48,'Item List'!$B$2:$C$1105,2,FALSE)</f>
        <v>Hours</v>
      </c>
      <c r="F48" s="429">
        <f>IF(OR(D48="",'Incentive Calculator'!J8=0),"",'Incentive Calculator'!F8)</f>
      </c>
      <c r="G48" s="428">
        <f t="shared" si="0"/>
      </c>
      <c r="H48" s="702"/>
      <c r="I48" s="703"/>
    </row>
    <row r="49" spans="2:9" ht="12.75">
      <c r="B49" s="476" t="str">
        <f>VLOOKUP(C49,'Item List'!$A$2:$B$1105,2,FALSE)</f>
        <v>00000608*</v>
      </c>
      <c r="C49" s="25" t="s">
        <v>209</v>
      </c>
      <c r="D49" s="128">
        <f>'Incentive Calculator'!D16</f>
        <v>1</v>
      </c>
      <c r="E49" s="69" t="str">
        <f>VLOOKUP(B49,'Item List'!$B$2:$C$1105,2,FALSE)</f>
        <v>Lump</v>
      </c>
      <c r="F49" s="429">
        <f>IF(OR(D49="",'Incentive Calculator'!J16=0),"",'Incentive Calculator'!J16)</f>
      </c>
      <c r="G49" s="428">
        <f t="shared" si="0"/>
      </c>
      <c r="H49" s="702"/>
      <c r="I49" s="703"/>
    </row>
    <row r="50" spans="2:9" ht="13.5" thickBot="1">
      <c r="B50" s="471"/>
      <c r="C50" s="26"/>
      <c r="D50" s="168"/>
      <c r="E50" s="31"/>
      <c r="F50" s="429"/>
      <c r="G50" s="430"/>
      <c r="H50" s="426"/>
      <c r="I50" s="449"/>
    </row>
    <row r="51" spans="2:9" ht="17.25" thickBot="1" thickTop="1">
      <c r="B51" s="450" t="s">
        <v>22</v>
      </c>
      <c r="C51" s="172"/>
      <c r="D51" s="173"/>
      <c r="E51" s="472"/>
      <c r="F51" s="473"/>
      <c r="G51" s="474">
        <f>ROUND(SUM(G42:G50),2)</f>
        <v>0</v>
      </c>
      <c r="H51" s="475"/>
      <c r="I51" s="453"/>
    </row>
    <row r="52" spans="2:9" ht="15">
      <c r="B52" s="2"/>
      <c r="C52" s="3"/>
      <c r="D52" s="3"/>
      <c r="E52" s="4"/>
      <c r="F52" s="431"/>
      <c r="G52" s="427"/>
      <c r="H52" s="427"/>
      <c r="I52" s="123" t="s">
        <v>136</v>
      </c>
    </row>
    <row r="53" spans="2:8" ht="13.5" thickBot="1">
      <c r="B53" s="2"/>
      <c r="C53" s="3"/>
      <c r="D53" s="3"/>
      <c r="E53" s="4"/>
      <c r="F53" s="431"/>
      <c r="G53" s="427"/>
      <c r="H53" s="427"/>
    </row>
    <row r="54" spans="2:9" ht="27" customHeight="1" thickTop="1">
      <c r="B54" s="706" t="s">
        <v>194</v>
      </c>
      <c r="C54" s="707"/>
      <c r="D54" s="707"/>
      <c r="E54" s="707"/>
      <c r="F54" s="707"/>
      <c r="G54" s="707"/>
      <c r="H54" s="707"/>
      <c r="I54" s="707"/>
    </row>
  </sheetData>
  <sheetProtection/>
  <mergeCells count="39">
    <mergeCell ref="J2:L4"/>
    <mergeCell ref="H24:I24"/>
    <mergeCell ref="H46:I46"/>
    <mergeCell ref="H47:I47"/>
    <mergeCell ref="H32:I32"/>
    <mergeCell ref="H34:I34"/>
    <mergeCell ref="H41:I41"/>
    <mergeCell ref="H36:I36"/>
    <mergeCell ref="H33:I33"/>
    <mergeCell ref="H21:I21"/>
    <mergeCell ref="H48:I48"/>
    <mergeCell ref="H31:I31"/>
    <mergeCell ref="H49:I49"/>
    <mergeCell ref="B4:I4"/>
    <mergeCell ref="H42:I42"/>
    <mergeCell ref="H43:I43"/>
    <mergeCell ref="H44:I44"/>
    <mergeCell ref="H45:I45"/>
    <mergeCell ref="H23:I23"/>
    <mergeCell ref="H26:I26"/>
    <mergeCell ref="B2:I2"/>
    <mergeCell ref="B3:I3"/>
    <mergeCell ref="C6:I8"/>
    <mergeCell ref="B6:B8"/>
    <mergeCell ref="D15:F15"/>
    <mergeCell ref="H22:I22"/>
    <mergeCell ref="B17:B19"/>
    <mergeCell ref="C17:G19"/>
    <mergeCell ref="H17:I19"/>
    <mergeCell ref="H20:I20"/>
    <mergeCell ref="B15:C15"/>
    <mergeCell ref="B54:I54"/>
    <mergeCell ref="B26:C26"/>
    <mergeCell ref="B28:C28"/>
    <mergeCell ref="H28:I28"/>
    <mergeCell ref="H30:I30"/>
    <mergeCell ref="H25:I25"/>
    <mergeCell ref="H35:I35"/>
    <mergeCell ref="H40:I40"/>
  </mergeCells>
  <hyperlinks>
    <hyperlink ref="I52" location="Main!A1" display="MAIN"/>
    <hyperlink ref="B54:I54" r:id="rId1" display="The items listed above are some commonly used items.  The above list is not all inclusive.  Additional standard items can be located in the Measurement and Payment Document located on the UDOT website at http://udot.utah.gov/main/f?p=100:pg:0:::1:T,V:3687"/>
  </hyperlinks>
  <printOptions horizontalCentered="1"/>
  <pageMargins left="0.25" right="0.25" top="0.25" bottom="0.5" header="0.3" footer="0.3"/>
  <pageSetup fitToHeight="1" fitToWidth="1" horizontalDpi="600" verticalDpi="600" orientation="landscape" scale="74" r:id="rId4"/>
  <headerFooter alignWithMargins="0">
    <oddFooter>&amp;L&amp;D&amp;CPage &amp;P of &amp;N&amp;RConcept Level Est Form 
Form 6</oddFooter>
  </headerFooter>
  <legacyDrawing r:id="rId3"/>
</worksheet>
</file>

<file path=xl/worksheets/sheet9.xml><?xml version="1.0" encoding="utf-8"?>
<worksheet xmlns="http://schemas.openxmlformats.org/spreadsheetml/2006/main" xmlns:r="http://schemas.openxmlformats.org/officeDocument/2006/relationships">
  <sheetPr codeName="Sheet10"/>
  <dimension ref="B2:AR94"/>
  <sheetViews>
    <sheetView view="pageBreakPreview" zoomScale="40" zoomScaleNormal="48" zoomScaleSheetLayoutView="40" zoomScalePageLayoutView="55" workbookViewId="0" topLeftCell="A1">
      <selection activeCell="AJ72" sqref="AJ72"/>
    </sheetView>
  </sheetViews>
  <sheetFormatPr defaultColWidth="9.140625" defaultRowHeight="12.75"/>
  <cols>
    <col min="1" max="1" width="2.8515625" style="93" customWidth="1"/>
    <col min="2" max="2" width="4.421875" style="93" bestFit="1" customWidth="1"/>
    <col min="3" max="3" width="26.8515625" style="93" customWidth="1"/>
    <col min="4" max="4" width="10.00390625" style="93" customWidth="1"/>
    <col min="5" max="5" width="8.140625" style="93" customWidth="1"/>
    <col min="6" max="6" width="10.8515625" style="93" customWidth="1"/>
    <col min="7" max="7" width="13.57421875" style="93" customWidth="1"/>
    <col min="8" max="8" width="10.00390625" style="93" customWidth="1"/>
    <col min="9" max="9" width="14.140625" style="93" customWidth="1"/>
    <col min="10" max="10" width="14.8515625" style="93" customWidth="1"/>
    <col min="11" max="11" width="16.8515625" style="93" bestFit="1" customWidth="1"/>
    <col min="12" max="12" width="15.140625" style="93" customWidth="1"/>
    <col min="13" max="13" width="16.00390625" style="93" bestFit="1" customWidth="1"/>
    <col min="14" max="15" width="13.421875" style="93" customWidth="1"/>
    <col min="16" max="16" width="15.421875" style="93" customWidth="1"/>
    <col min="17" max="17" width="17.00390625" style="93" bestFit="1" customWidth="1"/>
    <col min="18" max="18" width="12.7109375" style="93" customWidth="1"/>
    <col min="19" max="19" width="16.57421875" style="93" customWidth="1"/>
    <col min="20" max="20" width="13.140625" style="93" bestFit="1" customWidth="1"/>
    <col min="21" max="21" width="17.7109375" style="93" customWidth="1"/>
    <col min="22" max="22" width="18.7109375" style="93" customWidth="1"/>
    <col min="23" max="23" width="11.00390625" style="93" customWidth="1"/>
    <col min="24" max="24" width="23.28125" style="93" bestFit="1" customWidth="1"/>
    <col min="25" max="25" width="15.28125" style="93" customWidth="1"/>
    <col min="26" max="26" width="18.421875" style="93" customWidth="1"/>
    <col min="27" max="27" width="18.28125" style="93" bestFit="1" customWidth="1"/>
    <col min="28" max="28" width="18.7109375" style="93" bestFit="1" customWidth="1"/>
    <col min="29" max="29" width="8.7109375" style="93" customWidth="1"/>
    <col min="30" max="30" width="18.7109375" style="93" bestFit="1" customWidth="1"/>
    <col min="31" max="31" width="8.7109375" style="93" customWidth="1"/>
    <col min="32" max="32" width="18.57421875" style="93" bestFit="1" customWidth="1"/>
    <col min="33" max="33" width="1.421875" style="93" customWidth="1"/>
    <col min="34" max="34" width="13.00390625" style="93" customWidth="1"/>
    <col min="35" max="35" width="26.421875" style="93" bestFit="1" customWidth="1"/>
    <col min="36" max="36" width="47.28125" style="93" bestFit="1" customWidth="1"/>
    <col min="37" max="37" width="41.57421875" style="93" bestFit="1" customWidth="1"/>
    <col min="38" max="38" width="36.140625" style="93" bestFit="1" customWidth="1"/>
    <col min="39" max="39" width="29.140625" style="93" bestFit="1" customWidth="1"/>
    <col min="40" max="41" width="12.57421875" style="93" bestFit="1" customWidth="1"/>
    <col min="42" max="42" width="13.00390625" style="93" bestFit="1" customWidth="1"/>
    <col min="43" max="43" width="10.28125" style="93" bestFit="1" customWidth="1"/>
    <col min="44" max="16384" width="9.140625" style="93" customWidth="1"/>
  </cols>
  <sheetData>
    <row r="1" ht="8.25" customHeight="1"/>
    <row r="2" spans="2:32" ht="25.5">
      <c r="B2" s="648" t="s">
        <v>327</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405"/>
      <c r="AF2" s="405"/>
    </row>
    <row r="3" spans="2:32" ht="14.25" customHeight="1">
      <c r="B3" s="696" t="str">
        <f>Main!B2</f>
        <v>PROJECT NAME:  </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406"/>
      <c r="AF3" s="406"/>
    </row>
    <row r="4" ht="12.75"/>
    <row r="5" spans="3:44" ht="15.75">
      <c r="C5" s="178" t="s">
        <v>329</v>
      </c>
      <c r="L5" s="178" t="s">
        <v>82</v>
      </c>
      <c r="AH5" s="893" t="s">
        <v>2468</v>
      </c>
      <c r="AI5" s="893"/>
      <c r="AJ5" s="893"/>
      <c r="AK5" s="893"/>
      <c r="AL5" s="893"/>
      <c r="AM5" s="893"/>
      <c r="AN5" s="893"/>
      <c r="AO5" s="893"/>
      <c r="AP5" s="893"/>
      <c r="AQ5" s="893"/>
      <c r="AR5" s="893"/>
    </row>
    <row r="6" ht="6" customHeight="1" thickBot="1">
      <c r="L6" s="91"/>
    </row>
    <row r="7" spans="3:27" ht="13.5" thickBot="1">
      <c r="C7" s="258" t="s">
        <v>81</v>
      </c>
      <c r="D7" s="788" t="s">
        <v>35</v>
      </c>
      <c r="E7" s="789"/>
      <c r="F7" s="788" t="s">
        <v>36</v>
      </c>
      <c r="G7" s="892"/>
      <c r="H7" s="892"/>
      <c r="I7" s="789"/>
      <c r="L7" s="838" t="s">
        <v>59</v>
      </c>
      <c r="M7" s="839"/>
      <c r="N7" s="839"/>
      <c r="O7" s="840"/>
      <c r="P7" s="811" t="s">
        <v>30</v>
      </c>
      <c r="Q7" s="748"/>
      <c r="R7" s="747" t="s">
        <v>60</v>
      </c>
      <c r="S7" s="811"/>
      <c r="T7" s="811"/>
      <c r="U7" s="748"/>
      <c r="V7" s="749" t="s">
        <v>334</v>
      </c>
      <c r="W7" s="750"/>
      <c r="X7" s="749" t="s">
        <v>331</v>
      </c>
      <c r="Y7" s="750"/>
      <c r="Z7" s="747" t="s">
        <v>40</v>
      </c>
      <c r="AA7" s="748"/>
    </row>
    <row r="8" spans="3:27" ht="12.75" customHeight="1">
      <c r="C8" s="257" t="s">
        <v>37</v>
      </c>
      <c r="D8" s="637">
        <v>130</v>
      </c>
      <c r="E8" s="181" t="s">
        <v>61</v>
      </c>
      <c r="F8" s="341"/>
      <c r="G8" s="342"/>
      <c r="H8" s="342"/>
      <c r="I8" s="343"/>
      <c r="L8" s="841"/>
      <c r="M8" s="842"/>
      <c r="N8" s="842"/>
      <c r="O8" s="843"/>
      <c r="P8" s="182" t="s">
        <v>74</v>
      </c>
      <c r="Q8" s="809" t="s">
        <v>33</v>
      </c>
      <c r="R8" s="254" t="s">
        <v>328</v>
      </c>
      <c r="S8" s="836" t="s">
        <v>83</v>
      </c>
      <c r="T8" s="1" t="s">
        <v>74</v>
      </c>
      <c r="U8" s="809" t="s">
        <v>33</v>
      </c>
      <c r="V8" s="183" t="s">
        <v>74</v>
      </c>
      <c r="W8" s="809" t="s">
        <v>33</v>
      </c>
      <c r="X8" s="183" t="s">
        <v>74</v>
      </c>
      <c r="Y8" s="809" t="s">
        <v>33</v>
      </c>
      <c r="Z8" s="183" t="s">
        <v>74</v>
      </c>
      <c r="AA8" s="809" t="s">
        <v>33</v>
      </c>
    </row>
    <row r="9" spans="3:35" ht="15.75" thickBot="1">
      <c r="C9" s="180" t="s">
        <v>79</v>
      </c>
      <c r="D9" s="637">
        <v>130</v>
      </c>
      <c r="E9" s="184" t="s">
        <v>61</v>
      </c>
      <c r="F9" s="337"/>
      <c r="G9" s="344"/>
      <c r="H9" s="344"/>
      <c r="I9" s="338"/>
      <c r="L9" s="844"/>
      <c r="M9" s="845"/>
      <c r="N9" s="845"/>
      <c r="O9" s="846"/>
      <c r="P9" s="264" t="s">
        <v>66</v>
      </c>
      <c r="Q9" s="810"/>
      <c r="R9" s="265" t="s">
        <v>71</v>
      </c>
      <c r="S9" s="837"/>
      <c r="T9" s="252" t="s">
        <v>66</v>
      </c>
      <c r="U9" s="810"/>
      <c r="V9" s="266" t="s">
        <v>66</v>
      </c>
      <c r="W9" s="810"/>
      <c r="X9" s="266" t="s">
        <v>66</v>
      </c>
      <c r="Y9" s="810"/>
      <c r="Z9" s="266" t="s">
        <v>66</v>
      </c>
      <c r="AA9" s="810"/>
      <c r="AH9" s="305"/>
      <c r="AI9" s="91" t="s">
        <v>134</v>
      </c>
    </row>
    <row r="10" spans="3:35" ht="15">
      <c r="C10" s="180" t="s">
        <v>42</v>
      </c>
      <c r="D10" s="637">
        <v>142</v>
      </c>
      <c r="E10" s="184" t="s">
        <v>61</v>
      </c>
      <c r="F10" s="337"/>
      <c r="G10" s="344"/>
      <c r="H10" s="344"/>
      <c r="I10" s="338"/>
      <c r="L10" s="847">
        <f aca="true" t="shared" si="0" ref="L10:L19">IF(C28="","",C28)</f>
      </c>
      <c r="M10" s="848"/>
      <c r="N10" s="848"/>
      <c r="O10" s="849"/>
      <c r="P10" s="259">
        <f aca="true" t="shared" si="1" ref="P10:P19">IF(M28="","",$D28*$M28/9)</f>
      </c>
      <c r="Q10" s="260">
        <f aca="true" t="shared" si="2" ref="Q10:Q19">IF(P10="","",P10*$F$15/$D$15)</f>
      </c>
      <c r="R10" s="637"/>
      <c r="S10" s="261">
        <f>IF(P28="","",ROUNDUP(P28/R10,0))</f>
      </c>
      <c r="T10" s="262">
        <f aca="true" t="shared" si="3" ref="T10:T19">IF(R28="","",$D28*$R28/9)</f>
      </c>
      <c r="U10" s="260">
        <f aca="true" t="shared" si="4" ref="U10:U19">IF(T10="","",$S10*$T10*$F$16/$D$16)</f>
      </c>
      <c r="V10" s="263">
        <f aca="true" t="shared" si="5" ref="V10:V19">IF(W28="","",$D28*$E28/9)</f>
      </c>
      <c r="W10" s="260">
        <f aca="true" t="shared" si="6" ref="W10:W19">IF(V10="","",V10*$F$16/$D$16)</f>
      </c>
      <c r="X10" s="263">
        <f aca="true" t="shared" si="7" ref="X10:X19">Z28</f>
      </c>
      <c r="Y10" s="260">
        <f aca="true" t="shared" si="8" ref="Y10:Y19">IF(X10="","",X10*$F$17/$D$17)</f>
      </c>
      <c r="Z10" s="263">
        <f aca="true" t="shared" si="9" ref="Z10:Z19">Z28</f>
      </c>
      <c r="AA10" s="260">
        <f aca="true" t="shared" si="10" ref="AA10:AA19">IF(Z10="","",Z10*$F$18/$D$18)</f>
      </c>
      <c r="AH10" s="189"/>
      <c r="AI10" s="91" t="s">
        <v>135</v>
      </c>
    </row>
    <row r="11" spans="3:35" ht="15">
      <c r="C11" s="180" t="s">
        <v>28</v>
      </c>
      <c r="D11" s="637">
        <v>138</v>
      </c>
      <c r="E11" s="184" t="s">
        <v>61</v>
      </c>
      <c r="F11" s="337"/>
      <c r="G11" s="344"/>
      <c r="H11" s="344"/>
      <c r="I11" s="338"/>
      <c r="L11" s="768">
        <f t="shared" si="0"/>
      </c>
      <c r="M11" s="769"/>
      <c r="N11" s="769"/>
      <c r="O11" s="770"/>
      <c r="P11" s="185">
        <f t="shared" si="1"/>
      </c>
      <c r="Q11" s="186">
        <f t="shared" si="2"/>
      </c>
      <c r="R11" s="637"/>
      <c r="S11" s="253">
        <f aca="true" t="shared" si="11" ref="S11:S19">IF(P29="","",ROUNDUP(P29/R11,0))</f>
      </c>
      <c r="T11" s="187">
        <f t="shared" si="3"/>
      </c>
      <c r="U11" s="186">
        <f t="shared" si="4"/>
      </c>
      <c r="V11" s="263">
        <f t="shared" si="5"/>
      </c>
      <c r="W11" s="260">
        <f t="shared" si="6"/>
      </c>
      <c r="X11" s="188">
        <f t="shared" si="7"/>
      </c>
      <c r="Y11" s="186">
        <f t="shared" si="8"/>
      </c>
      <c r="Z11" s="188">
        <f t="shared" si="9"/>
      </c>
      <c r="AA11" s="186">
        <f t="shared" si="10"/>
      </c>
      <c r="AH11" s="190"/>
      <c r="AI11" s="91" t="s">
        <v>193</v>
      </c>
    </row>
    <row r="12" spans="3:27" ht="15">
      <c r="C12" s="180" t="s">
        <v>27</v>
      </c>
      <c r="D12" s="637">
        <v>148</v>
      </c>
      <c r="E12" s="184" t="s">
        <v>61</v>
      </c>
      <c r="F12" s="337"/>
      <c r="G12" s="344"/>
      <c r="H12" s="344"/>
      <c r="I12" s="338"/>
      <c r="L12" s="768">
        <f t="shared" si="0"/>
      </c>
      <c r="M12" s="769"/>
      <c r="N12" s="769"/>
      <c r="O12" s="770"/>
      <c r="P12" s="185">
        <f t="shared" si="1"/>
      </c>
      <c r="Q12" s="186">
        <f t="shared" si="2"/>
      </c>
      <c r="R12" s="637"/>
      <c r="S12" s="253">
        <f t="shared" si="11"/>
      </c>
      <c r="T12" s="187">
        <f t="shared" si="3"/>
      </c>
      <c r="U12" s="186">
        <f t="shared" si="4"/>
      </c>
      <c r="V12" s="263">
        <f t="shared" si="5"/>
      </c>
      <c r="W12" s="260">
        <f t="shared" si="6"/>
      </c>
      <c r="X12" s="188">
        <f t="shared" si="7"/>
      </c>
      <c r="Y12" s="186">
        <f t="shared" si="8"/>
      </c>
      <c r="Z12" s="188">
        <f t="shared" si="9"/>
      </c>
      <c r="AA12" s="186">
        <f t="shared" si="10"/>
      </c>
    </row>
    <row r="13" spans="3:27" ht="15">
      <c r="C13" s="180" t="s">
        <v>65</v>
      </c>
      <c r="D13" s="637">
        <v>135</v>
      </c>
      <c r="E13" s="184" t="s">
        <v>61</v>
      </c>
      <c r="F13" s="337"/>
      <c r="G13" s="344"/>
      <c r="H13" s="344"/>
      <c r="I13" s="338"/>
      <c r="L13" s="768">
        <f t="shared" si="0"/>
      </c>
      <c r="M13" s="769"/>
      <c r="N13" s="769"/>
      <c r="O13" s="770"/>
      <c r="P13" s="185">
        <f t="shared" si="1"/>
      </c>
      <c r="Q13" s="186">
        <f t="shared" si="2"/>
      </c>
      <c r="R13" s="637"/>
      <c r="S13" s="253">
        <f t="shared" si="11"/>
      </c>
      <c r="T13" s="187">
        <f t="shared" si="3"/>
      </c>
      <c r="U13" s="186">
        <f t="shared" si="4"/>
      </c>
      <c r="V13" s="263">
        <f t="shared" si="5"/>
      </c>
      <c r="W13" s="260">
        <f t="shared" si="6"/>
      </c>
      <c r="X13" s="188">
        <f t="shared" si="7"/>
      </c>
      <c r="Y13" s="186">
        <f t="shared" si="8"/>
      </c>
      <c r="Z13" s="188">
        <f t="shared" si="9"/>
      </c>
      <c r="AA13" s="186">
        <f t="shared" si="10"/>
      </c>
    </row>
    <row r="14" spans="3:27" ht="15">
      <c r="C14" s="180" t="s">
        <v>318</v>
      </c>
      <c r="D14" s="637">
        <v>0.061</v>
      </c>
      <c r="E14" s="184" t="s">
        <v>65</v>
      </c>
      <c r="F14" s="345"/>
      <c r="G14" s="346"/>
      <c r="H14" s="346"/>
      <c r="I14" s="347"/>
      <c r="L14" s="768">
        <f t="shared" si="0"/>
      </c>
      <c r="M14" s="769"/>
      <c r="N14" s="769"/>
      <c r="O14" s="770"/>
      <c r="P14" s="185">
        <f t="shared" si="1"/>
      </c>
      <c r="Q14" s="186">
        <f t="shared" si="2"/>
      </c>
      <c r="R14" s="637"/>
      <c r="S14" s="253">
        <f t="shared" si="11"/>
      </c>
      <c r="T14" s="187">
        <f t="shared" si="3"/>
      </c>
      <c r="U14" s="186">
        <f t="shared" si="4"/>
      </c>
      <c r="V14" s="263">
        <f t="shared" si="5"/>
      </c>
      <c r="W14" s="260">
        <f t="shared" si="6"/>
      </c>
      <c r="X14" s="188">
        <f t="shared" si="7"/>
      </c>
      <c r="Y14" s="186">
        <f t="shared" si="8"/>
      </c>
      <c r="Z14" s="188">
        <f t="shared" si="9"/>
      </c>
      <c r="AA14" s="186">
        <f t="shared" si="10"/>
      </c>
    </row>
    <row r="15" spans="3:27" ht="12.75" customHeight="1">
      <c r="C15" s="180" t="s">
        <v>30</v>
      </c>
      <c r="D15" s="637">
        <v>249</v>
      </c>
      <c r="E15" s="184" t="s">
        <v>34</v>
      </c>
      <c r="F15" s="637">
        <v>0.5</v>
      </c>
      <c r="G15" s="329" t="s">
        <v>38</v>
      </c>
      <c r="H15" s="330"/>
      <c r="I15" s="331"/>
      <c r="L15" s="858">
        <f t="shared" si="0"/>
      </c>
      <c r="M15" s="859"/>
      <c r="N15" s="859"/>
      <c r="O15" s="860"/>
      <c r="P15" s="185">
        <f t="shared" si="1"/>
      </c>
      <c r="Q15" s="186">
        <f t="shared" si="2"/>
      </c>
      <c r="R15" s="637"/>
      <c r="S15" s="253">
        <f t="shared" si="11"/>
      </c>
      <c r="T15" s="187">
        <f t="shared" si="3"/>
      </c>
      <c r="U15" s="186">
        <f t="shared" si="4"/>
      </c>
      <c r="V15" s="263">
        <f t="shared" si="5"/>
      </c>
      <c r="W15" s="260">
        <f t="shared" si="6"/>
      </c>
      <c r="X15" s="188">
        <f t="shared" si="7"/>
      </c>
      <c r="Y15" s="186">
        <f t="shared" si="8"/>
      </c>
      <c r="Z15" s="188">
        <f t="shared" si="9"/>
      </c>
      <c r="AA15" s="186">
        <f t="shared" si="10"/>
      </c>
    </row>
    <row r="16" spans="3:27" ht="15">
      <c r="C16" s="180" t="s">
        <v>60</v>
      </c>
      <c r="D16" s="637">
        <v>240</v>
      </c>
      <c r="E16" s="184" t="s">
        <v>34</v>
      </c>
      <c r="F16" s="637">
        <v>0.07</v>
      </c>
      <c r="G16" s="329" t="s">
        <v>38</v>
      </c>
      <c r="H16" s="330"/>
      <c r="I16" s="331"/>
      <c r="L16" s="858">
        <f t="shared" si="0"/>
      </c>
      <c r="M16" s="859"/>
      <c r="N16" s="859"/>
      <c r="O16" s="860"/>
      <c r="P16" s="185">
        <f t="shared" si="1"/>
      </c>
      <c r="Q16" s="186">
        <f t="shared" si="2"/>
      </c>
      <c r="R16" s="637"/>
      <c r="S16" s="253">
        <f t="shared" si="11"/>
      </c>
      <c r="T16" s="187">
        <f t="shared" si="3"/>
      </c>
      <c r="U16" s="186">
        <f t="shared" si="4"/>
      </c>
      <c r="V16" s="263">
        <f t="shared" si="5"/>
      </c>
      <c r="W16" s="260">
        <f t="shared" si="6"/>
      </c>
      <c r="X16" s="188">
        <f t="shared" si="7"/>
      </c>
      <c r="Y16" s="186">
        <f t="shared" si="8"/>
      </c>
      <c r="Z16" s="188">
        <f t="shared" si="9"/>
      </c>
      <c r="AA16" s="186">
        <f t="shared" si="10"/>
      </c>
    </row>
    <row r="17" spans="3:27" ht="12.75" customHeight="1">
      <c r="C17" s="191" t="s">
        <v>39</v>
      </c>
      <c r="D17" s="637">
        <v>250</v>
      </c>
      <c r="E17" s="184" t="s">
        <v>34</v>
      </c>
      <c r="F17" s="637">
        <v>0.4</v>
      </c>
      <c r="G17" s="329" t="s">
        <v>38</v>
      </c>
      <c r="H17" s="330"/>
      <c r="I17" s="331"/>
      <c r="L17" s="858">
        <f t="shared" si="0"/>
      </c>
      <c r="M17" s="859"/>
      <c r="N17" s="859"/>
      <c r="O17" s="860"/>
      <c r="P17" s="185">
        <f t="shared" si="1"/>
      </c>
      <c r="Q17" s="186">
        <f t="shared" si="2"/>
      </c>
      <c r="R17" s="637"/>
      <c r="S17" s="253">
        <f t="shared" si="11"/>
      </c>
      <c r="T17" s="187">
        <f t="shared" si="3"/>
      </c>
      <c r="U17" s="186">
        <f t="shared" si="4"/>
      </c>
      <c r="V17" s="263">
        <f t="shared" si="5"/>
      </c>
      <c r="W17" s="260">
        <f t="shared" si="6"/>
      </c>
      <c r="X17" s="188">
        <f t="shared" si="7"/>
      </c>
      <c r="Y17" s="186">
        <f t="shared" si="8"/>
      </c>
      <c r="Z17" s="188">
        <f t="shared" si="9"/>
      </c>
      <c r="AA17" s="186">
        <f t="shared" si="10"/>
      </c>
    </row>
    <row r="18" spans="3:27" ht="12.75" customHeight="1">
      <c r="C18" s="180" t="s">
        <v>40</v>
      </c>
      <c r="D18" s="637">
        <v>245</v>
      </c>
      <c r="E18" s="184" t="s">
        <v>34</v>
      </c>
      <c r="F18" s="637">
        <v>0.11</v>
      </c>
      <c r="G18" s="329" t="s">
        <v>38</v>
      </c>
      <c r="H18" s="330"/>
      <c r="I18" s="331"/>
      <c r="L18" s="858">
        <f t="shared" si="0"/>
      </c>
      <c r="M18" s="859"/>
      <c r="N18" s="859"/>
      <c r="O18" s="860"/>
      <c r="P18" s="185">
        <f t="shared" si="1"/>
      </c>
      <c r="Q18" s="186">
        <f t="shared" si="2"/>
      </c>
      <c r="R18" s="637"/>
      <c r="S18" s="253">
        <f t="shared" si="11"/>
      </c>
      <c r="T18" s="187">
        <f t="shared" si="3"/>
      </c>
      <c r="U18" s="186">
        <f t="shared" si="4"/>
      </c>
      <c r="V18" s="263">
        <f t="shared" si="5"/>
      </c>
      <c r="W18" s="260">
        <f t="shared" si="6"/>
      </c>
      <c r="X18" s="188">
        <f t="shared" si="7"/>
      </c>
      <c r="Y18" s="186">
        <f t="shared" si="8"/>
      </c>
      <c r="Z18" s="188">
        <f t="shared" si="9"/>
      </c>
      <c r="AA18" s="186">
        <f t="shared" si="10"/>
      </c>
    </row>
    <row r="19" spans="3:27" ht="15.75" thickBot="1">
      <c r="C19" s="817" t="s">
        <v>62</v>
      </c>
      <c r="D19" s="797"/>
      <c r="E19" s="798"/>
      <c r="F19" s="637">
        <v>42</v>
      </c>
      <c r="G19" s="329" t="s">
        <v>64</v>
      </c>
      <c r="H19" s="330"/>
      <c r="I19" s="331"/>
      <c r="L19" s="855">
        <f t="shared" si="0"/>
      </c>
      <c r="M19" s="856"/>
      <c r="N19" s="856"/>
      <c r="O19" s="857"/>
      <c r="P19" s="275">
        <f t="shared" si="1"/>
      </c>
      <c r="Q19" s="276">
        <f t="shared" si="2"/>
      </c>
      <c r="R19" s="637"/>
      <c r="S19" s="277">
        <f t="shared" si="11"/>
      </c>
      <c r="T19" s="278">
        <f t="shared" si="3"/>
      </c>
      <c r="U19" s="276">
        <f t="shared" si="4"/>
      </c>
      <c r="V19" s="263">
        <f t="shared" si="5"/>
      </c>
      <c r="W19" s="260">
        <f t="shared" si="6"/>
      </c>
      <c r="X19" s="279">
        <f t="shared" si="7"/>
      </c>
      <c r="Y19" s="276">
        <f t="shared" si="8"/>
      </c>
      <c r="Z19" s="279">
        <f t="shared" si="9"/>
      </c>
      <c r="AA19" s="276">
        <f t="shared" si="10"/>
      </c>
    </row>
    <row r="20" spans="3:27" ht="16.5" thickBot="1" thickTop="1">
      <c r="C20" s="818"/>
      <c r="D20" s="799"/>
      <c r="E20" s="800"/>
      <c r="F20" s="637">
        <v>51</v>
      </c>
      <c r="G20" s="329" t="s">
        <v>63</v>
      </c>
      <c r="H20" s="330"/>
      <c r="I20" s="331"/>
      <c r="L20" s="820" t="s">
        <v>75</v>
      </c>
      <c r="M20" s="821"/>
      <c r="N20" s="821"/>
      <c r="O20" s="822"/>
      <c r="P20" s="288"/>
      <c r="Q20" s="289">
        <f>ROUNDUP(SUM(Q10:Q19),0)</f>
        <v>0</v>
      </c>
      <c r="R20" s="803"/>
      <c r="S20" s="804"/>
      <c r="T20" s="805"/>
      <c r="U20" s="289">
        <f>ROUNDUP(SUM(U10:U19),0)</f>
        <v>0</v>
      </c>
      <c r="V20" s="290"/>
      <c r="W20" s="289">
        <f>ROUNDUP(SUM(W10:W19),0)</f>
        <v>0</v>
      </c>
      <c r="X20" s="290"/>
      <c r="Y20" s="289">
        <f>ROUNDUP(SUM(Y10:Y19),0)</f>
        <v>0</v>
      </c>
      <c r="Z20" s="290"/>
      <c r="AA20" s="289">
        <f>ROUNDUP(SUM(AA10:AA19),0)</f>
        <v>0</v>
      </c>
    </row>
    <row r="21" spans="3:9" ht="15.75" thickBot="1">
      <c r="C21" s="819"/>
      <c r="D21" s="801"/>
      <c r="E21" s="802"/>
      <c r="F21" s="637">
        <v>45</v>
      </c>
      <c r="G21" s="334" t="s">
        <v>2429</v>
      </c>
      <c r="H21" s="335"/>
      <c r="I21" s="336"/>
    </row>
    <row r="22" spans="34:42" ht="12.75">
      <c r="AH22" s="899" t="s">
        <v>2459</v>
      </c>
      <c r="AI22" s="899"/>
      <c r="AJ22" s="899"/>
      <c r="AK22" s="899"/>
      <c r="AL22" s="899"/>
      <c r="AM22" s="899"/>
      <c r="AN22" s="899"/>
      <c r="AO22" s="899"/>
      <c r="AP22" s="408"/>
    </row>
    <row r="23" spans="3:42" ht="15.75">
      <c r="C23" s="178" t="s">
        <v>68</v>
      </c>
      <c r="AH23" s="899"/>
      <c r="AI23" s="899"/>
      <c r="AJ23" s="899"/>
      <c r="AK23" s="899"/>
      <c r="AL23" s="899"/>
      <c r="AM23" s="899"/>
      <c r="AN23" s="899"/>
      <c r="AO23" s="899"/>
      <c r="AP23" s="408"/>
    </row>
    <row r="24" ht="6" customHeight="1" thickBot="1">
      <c r="C24" s="192"/>
    </row>
    <row r="25" spans="3:43" ht="16.5" customHeight="1">
      <c r="C25" s="829" t="s">
        <v>59</v>
      </c>
      <c r="D25" s="832" t="s">
        <v>31</v>
      </c>
      <c r="E25" s="870" t="s">
        <v>76</v>
      </c>
      <c r="F25" s="754" t="s">
        <v>356</v>
      </c>
      <c r="G25" s="872" t="s">
        <v>78</v>
      </c>
      <c r="H25" s="747" t="s">
        <v>42</v>
      </c>
      <c r="I25" s="811"/>
      <c r="J25" s="811"/>
      <c r="K25" s="748"/>
      <c r="L25" s="747" t="s">
        <v>163</v>
      </c>
      <c r="M25" s="811"/>
      <c r="N25" s="811"/>
      <c r="O25" s="748"/>
      <c r="P25" s="747" t="s">
        <v>27</v>
      </c>
      <c r="Q25" s="811"/>
      <c r="R25" s="811"/>
      <c r="S25" s="748"/>
      <c r="T25" s="812" t="s">
        <v>2464</v>
      </c>
      <c r="U25" s="813"/>
      <c r="V25" s="814"/>
      <c r="W25" s="747" t="s">
        <v>65</v>
      </c>
      <c r="X25" s="896"/>
      <c r="Y25" s="894" t="s">
        <v>318</v>
      </c>
      <c r="Z25" s="897" t="s">
        <v>325</v>
      </c>
      <c r="AA25" s="747" t="str">
        <f>"LCBC - 4"" Thick"</f>
        <v>LCBC - 4" Thick</v>
      </c>
      <c r="AB25" s="748"/>
      <c r="AC25" s="747" t="s">
        <v>77</v>
      </c>
      <c r="AD25" s="748"/>
      <c r="AE25" s="749" t="s">
        <v>332</v>
      </c>
      <c r="AF25" s="750"/>
      <c r="AI25" s="790" t="s">
        <v>355</v>
      </c>
      <c r="AJ25" s="793" t="s">
        <v>301</v>
      </c>
      <c r="AK25" s="794"/>
      <c r="AL25" s="794"/>
      <c r="AM25" s="794"/>
      <c r="AN25" s="794"/>
      <c r="AO25" s="794"/>
      <c r="AP25" s="794"/>
      <c r="AQ25" s="750"/>
    </row>
    <row r="26" spans="3:43" ht="34.5" customHeight="1">
      <c r="C26" s="830"/>
      <c r="D26" s="833"/>
      <c r="E26" s="871"/>
      <c r="F26" s="755"/>
      <c r="G26" s="873"/>
      <c r="H26" s="193" t="s">
        <v>72</v>
      </c>
      <c r="I26" s="1" t="s">
        <v>32</v>
      </c>
      <c r="J26" s="7" t="s">
        <v>73</v>
      </c>
      <c r="K26" s="861" t="s">
        <v>33</v>
      </c>
      <c r="L26" s="193" t="s">
        <v>72</v>
      </c>
      <c r="M26" s="1" t="s">
        <v>32</v>
      </c>
      <c r="N26" s="7" t="s">
        <v>73</v>
      </c>
      <c r="O26" s="861" t="s">
        <v>33</v>
      </c>
      <c r="P26" s="193" t="s">
        <v>72</v>
      </c>
      <c r="Q26" s="834" t="s">
        <v>330</v>
      </c>
      <c r="R26" s="1" t="s">
        <v>32</v>
      </c>
      <c r="S26" s="815" t="s">
        <v>33</v>
      </c>
      <c r="T26" s="193" t="s">
        <v>72</v>
      </c>
      <c r="U26" s="1" t="s">
        <v>32</v>
      </c>
      <c r="V26" s="815" t="s">
        <v>33</v>
      </c>
      <c r="W26" s="193" t="s">
        <v>72</v>
      </c>
      <c r="X26" s="815" t="s">
        <v>33</v>
      </c>
      <c r="Y26" s="895"/>
      <c r="Z26" s="898"/>
      <c r="AA26" s="183" t="s">
        <v>32</v>
      </c>
      <c r="AB26" s="70" t="s">
        <v>74</v>
      </c>
      <c r="AC26" s="183" t="s">
        <v>72</v>
      </c>
      <c r="AD26" s="70" t="s">
        <v>74</v>
      </c>
      <c r="AE26" s="183" t="s">
        <v>72</v>
      </c>
      <c r="AF26" s="70" t="s">
        <v>74</v>
      </c>
      <c r="AI26" s="791"/>
      <c r="AJ26" s="751" t="s">
        <v>342</v>
      </c>
      <c r="AK26" s="752"/>
      <c r="AL26" s="752"/>
      <c r="AM26" s="753"/>
      <c r="AN26" s="751" t="s">
        <v>2474</v>
      </c>
      <c r="AO26" s="752"/>
      <c r="AP26" s="752"/>
      <c r="AQ26" s="796"/>
    </row>
    <row r="27" spans="3:43" ht="14.25" customHeight="1" thickBot="1">
      <c r="C27" s="831"/>
      <c r="D27" s="264" t="s">
        <v>11</v>
      </c>
      <c r="E27" s="252" t="s">
        <v>11</v>
      </c>
      <c r="F27" s="756"/>
      <c r="G27" s="874"/>
      <c r="H27" s="266" t="s">
        <v>71</v>
      </c>
      <c r="I27" s="252" t="s">
        <v>11</v>
      </c>
      <c r="J27" s="252" t="s">
        <v>67</v>
      </c>
      <c r="K27" s="862"/>
      <c r="L27" s="266" t="s">
        <v>71</v>
      </c>
      <c r="M27" s="252" t="s">
        <v>11</v>
      </c>
      <c r="N27" s="252" t="s">
        <v>67</v>
      </c>
      <c r="O27" s="862"/>
      <c r="P27" s="266" t="s">
        <v>71</v>
      </c>
      <c r="Q27" s="835"/>
      <c r="R27" s="252" t="s">
        <v>11</v>
      </c>
      <c r="S27" s="816"/>
      <c r="T27" s="266" t="s">
        <v>71</v>
      </c>
      <c r="U27" s="252" t="s">
        <v>11</v>
      </c>
      <c r="V27" s="816"/>
      <c r="W27" s="266" t="s">
        <v>71</v>
      </c>
      <c r="X27" s="816"/>
      <c r="Y27" s="270" t="s">
        <v>33</v>
      </c>
      <c r="Z27" s="271" t="s">
        <v>66</v>
      </c>
      <c r="AA27" s="266" t="s">
        <v>11</v>
      </c>
      <c r="AB27" s="270" t="s">
        <v>66</v>
      </c>
      <c r="AC27" s="266" t="s">
        <v>71</v>
      </c>
      <c r="AD27" s="270" t="s">
        <v>66</v>
      </c>
      <c r="AE27" s="266" t="s">
        <v>71</v>
      </c>
      <c r="AF27" s="270" t="s">
        <v>66</v>
      </c>
      <c r="AI27" s="792"/>
      <c r="AJ27" s="296" t="s">
        <v>29</v>
      </c>
      <c r="AK27" s="296" t="s">
        <v>140</v>
      </c>
      <c r="AL27" s="296" t="s">
        <v>27</v>
      </c>
      <c r="AM27" s="296" t="s">
        <v>2464</v>
      </c>
      <c r="AN27" s="296" t="s">
        <v>29</v>
      </c>
      <c r="AO27" s="296" t="s">
        <v>140</v>
      </c>
      <c r="AP27" s="412" t="s">
        <v>27</v>
      </c>
      <c r="AQ27" s="297" t="s">
        <v>2464</v>
      </c>
    </row>
    <row r="28" spans="3:43" ht="15.75" customHeight="1">
      <c r="C28" s="637"/>
      <c r="D28" s="637"/>
      <c r="E28" s="637"/>
      <c r="F28" s="637"/>
      <c r="G28" s="637"/>
      <c r="H28" s="637"/>
      <c r="I28" s="267">
        <f>IF(H28="","",(J28*27/(D28*H28/12)))</f>
      </c>
      <c r="J28" s="262">
        <f>IF(H28="","",(D28*E28*H28/12)/27+(F28*AN28*D28/27))</f>
      </c>
      <c r="K28" s="260">
        <f>IF(I28="","",($J28*27*$D$10)/2000)</f>
      </c>
      <c r="L28" s="637"/>
      <c r="M28" s="267">
        <f>IF(L28="","",N28*27/(D28*L28/12))</f>
      </c>
      <c r="N28" s="262">
        <f>IF(L28="","",(D28*E28*L28/12)/27+(F28*AO28*D28/27))</f>
      </c>
      <c r="O28" s="260">
        <f>IF(M28="","",($N28*27*$D$11)/2000)</f>
      </c>
      <c r="P28" s="637"/>
      <c r="Q28" s="637"/>
      <c r="R28" s="267">
        <f>IF(P28="","",(S28*2000/$D$12/(P28/12)/D28))</f>
      </c>
      <c r="S28" s="260">
        <f>IF(P28="","",(((($D28*$E28*$P28/12)+($F28*$AP28*$D28))*$D$12)/2000))</f>
      </c>
      <c r="T28" s="637"/>
      <c r="U28" s="267">
        <f>IF(V28="","",(V28*2000/($D$12*T28/12)/D28))</f>
      </c>
      <c r="V28" s="260">
        <f>IF(T28="","",(((($D28*$E28*$T28/12)+($F28*$AQ28*$D28))*$D$12)/2000))</f>
      </c>
      <c r="W28" s="637"/>
      <c r="X28" s="262">
        <f>IF(W28="","",(($D28*$E28*$W28/12)*$D$13)/2000)</f>
      </c>
      <c r="Y28" s="268">
        <f>IF(W28="","",$D$14*$X28)</f>
      </c>
      <c r="Z28" s="269">
        <f aca="true" t="shared" si="12" ref="Z28:Z37">IF(OR(E28="",W28&lt;&gt;"",AC28&lt;&gt;""),"",IF(P28="","",$D28*$E28/9))</f>
      </c>
      <c r="AA28" s="637"/>
      <c r="AB28" s="268">
        <f aca="true" t="shared" si="13" ref="AB28:AB37">IF(AA28="","",$D28*$E28/9)</f>
      </c>
      <c r="AC28" s="637"/>
      <c r="AD28" s="268">
        <f aca="true" t="shared" si="14" ref="AD28:AD37">IF(AC28="","",$D28*$E28/9)</f>
      </c>
      <c r="AE28" s="637"/>
      <c r="AF28" s="268">
        <f aca="true" t="shared" si="15" ref="AF28:AF37">IF(AE28="","",$D28*$E28/9)</f>
      </c>
      <c r="AI28" s="298">
        <f>IF(G28="","",IF(G28=0,0,7.035*G28^2-3.4147*G28+1.5139))</f>
      </c>
      <c r="AJ28" s="299">
        <f>IF(G28="","",IF(G28=0,0,(0.5*((($T28+$H28+$L28+$P28)/$G28)/12)*($T28+$H28+$L28+$P28)/12)*$AI28))</f>
      </c>
      <c r="AK28" s="299">
        <f>IF(G28="","",IF(G28=0,0,(0.5*((($T28+$L28+$P28)/$G28)/12)*($T28+$L28+$P28)/12)*$AI28))</f>
      </c>
      <c r="AL28" s="299">
        <f>IF(G28="","",IF(G28=0,0,(0.5*((($T28+$P28)/$G28)/12)*($T28+$P28)/12)*$AI28))</f>
      </c>
      <c r="AM28" s="299">
        <f>IF(G28="","",IF(G28=0,0,(0.5*(($T28/$G28)/12)*$T28/12)*$AI28))</f>
      </c>
      <c r="AN28" s="403">
        <f>IF(G28="","",+AJ28-AK28)</f>
      </c>
      <c r="AO28" s="403">
        <f>IF(G28="","",+AK28-AL28)</f>
      </c>
      <c r="AP28" s="403">
        <f>IF(G28="","",+AL28-AM28)</f>
      </c>
      <c r="AQ28" s="404">
        <f>IF(G28="","",+AM28)</f>
      </c>
    </row>
    <row r="29" spans="3:43" ht="15">
      <c r="C29" s="637"/>
      <c r="D29" s="637"/>
      <c r="E29" s="637"/>
      <c r="F29" s="637"/>
      <c r="G29" s="637"/>
      <c r="H29" s="637"/>
      <c r="I29" s="267">
        <f aca="true" t="shared" si="16" ref="I29:I37">IF(H29="","",(J29*27/(D29*H29/12)))</f>
      </c>
      <c r="J29" s="262">
        <f aca="true" t="shared" si="17" ref="J29:J37">IF(H29="","",(D29*E29*H29/12)/27+(F29*AN29*D29/27))</f>
      </c>
      <c r="K29" s="260">
        <f aca="true" t="shared" si="18" ref="K29:K37">IF(I29="","",($J29*27*$D$10)/2000)</f>
      </c>
      <c r="L29" s="637"/>
      <c r="M29" s="267">
        <f aca="true" t="shared" si="19" ref="M29:M37">IF(L29="","",N29*27/(D29*L29/12))</f>
      </c>
      <c r="N29" s="262">
        <f aca="true" t="shared" si="20" ref="N29:N37">IF(L29="","",(D29*E29*L29/12)/27+(F29*AO29*D29/27))</f>
      </c>
      <c r="O29" s="260">
        <f aca="true" t="shared" si="21" ref="O29:O37">IF(M29="","",($N29*27*$D$11)/2000)</f>
      </c>
      <c r="P29" s="637"/>
      <c r="Q29" s="637"/>
      <c r="R29" s="267">
        <f aca="true" t="shared" si="22" ref="R29:R37">IF(P29="","",(S29*2000/($D$12*P29/12)/D29))</f>
      </c>
      <c r="S29" s="260">
        <f>IF(P29="","",(((($D29*$E29*$P29/12)+($F29*$AP29*$D29))*$D$12)/2000))</f>
      </c>
      <c r="T29" s="637"/>
      <c r="U29" s="267">
        <f aca="true" t="shared" si="23" ref="U29:U37">IF(V29="","",(V29*2000/($D$12*T29/12)/D29))</f>
      </c>
      <c r="V29" s="260">
        <f>IF(T29="","",(((($D29*$E29*$T29/12)+($F29*$AQ29*$D29))*$D$12)/2000))</f>
      </c>
      <c r="W29" s="637"/>
      <c r="X29" s="262">
        <f aca="true" t="shared" si="24" ref="X29:X37">IF(W29="","",(($D29*$E29*$W29/12)*$D$13)/2000)</f>
      </c>
      <c r="Y29" s="268">
        <f aca="true" t="shared" si="25" ref="Y29:Y37">IF(W29="","",$D$14*$X29)</f>
      </c>
      <c r="Z29" s="195">
        <f t="shared" si="12"/>
      </c>
      <c r="AA29" s="637"/>
      <c r="AB29" s="194">
        <f t="shared" si="13"/>
      </c>
      <c r="AC29" s="637"/>
      <c r="AD29" s="194">
        <f t="shared" si="14"/>
      </c>
      <c r="AE29" s="637"/>
      <c r="AF29" s="194">
        <f t="shared" si="15"/>
      </c>
      <c r="AI29" s="298">
        <f aca="true" t="shared" si="26" ref="AI29:AI37">IF(G29="","",IF(G29=0,0,7.035*G29^2-3.4147*G29+1.5139))</f>
      </c>
      <c r="AJ29" s="299">
        <f aca="true" t="shared" si="27" ref="AJ29:AJ37">IF(G29="","",IF(G29=0,0,(0.5*((($T29+$H29+$L29+$P29)/$G29)/12)*($T29+$H29+$L29+$P29)/12)*$AI29))</f>
      </c>
      <c r="AK29" s="299">
        <f aca="true" t="shared" si="28" ref="AK29:AK37">IF(G29="","",IF(G29=0,0,(0.5*((($T29+$L29+$P29)/$G29)/12)*($T29+$L29+$P29)/12)*$AI29))</f>
      </c>
      <c r="AL29" s="299">
        <f aca="true" t="shared" si="29" ref="AL29:AL37">IF(G29="","",IF(G29=0,0,(0.5*((($T29+$P29)/$G29)/12)*($T29+$P29)/12)*$AI29))</f>
      </c>
      <c r="AM29" s="299">
        <f aca="true" t="shared" si="30" ref="AM29:AM37">IF(G29="","",IF(G29=0,0,(0.5*(($T29/$G29)/12)*$T29/12)*$AI29))</f>
      </c>
      <c r="AN29" s="403">
        <f aca="true" t="shared" si="31" ref="AN29:AN37">IF(G29="","",+AJ29-AK29)</f>
      </c>
      <c r="AO29" s="403">
        <f aca="true" t="shared" si="32" ref="AO29:AO37">IF(G29="","",+AK29-AL29)</f>
      </c>
      <c r="AP29" s="403">
        <f aca="true" t="shared" si="33" ref="AP29:AP37">IF(G29="","",+AL29-AM29)</f>
      </c>
      <c r="AQ29" s="404">
        <f aca="true" t="shared" si="34" ref="AQ29:AQ37">IF(G29="","",+AM29)</f>
      </c>
    </row>
    <row r="30" spans="3:43" ht="15">
      <c r="C30" s="637"/>
      <c r="D30" s="637"/>
      <c r="E30" s="637"/>
      <c r="F30" s="637"/>
      <c r="G30" s="637"/>
      <c r="H30" s="637"/>
      <c r="I30" s="267">
        <f t="shared" si="16"/>
      </c>
      <c r="J30" s="262">
        <f t="shared" si="17"/>
      </c>
      <c r="K30" s="260">
        <f t="shared" si="18"/>
      </c>
      <c r="L30" s="637"/>
      <c r="M30" s="267">
        <f t="shared" si="19"/>
      </c>
      <c r="N30" s="262">
        <f t="shared" si="20"/>
      </c>
      <c r="O30" s="260">
        <f t="shared" si="21"/>
      </c>
      <c r="P30" s="637"/>
      <c r="Q30" s="637"/>
      <c r="R30" s="267">
        <f t="shared" si="22"/>
      </c>
      <c r="S30" s="260">
        <f>IF(P30="","",(((($D30*$E30*$P30/12)+($F30*$AP30*$D30))*$D$12)/2000))</f>
      </c>
      <c r="T30" s="637"/>
      <c r="U30" s="267">
        <f t="shared" si="23"/>
      </c>
      <c r="V30" s="260">
        <f aca="true" t="shared" si="35" ref="V30:V37">IF(T30="","",(((($D30*$E30*$T30/12)+($F30*$AQ30*$D30))*$D$12)/2000))</f>
      </c>
      <c r="W30" s="637"/>
      <c r="X30" s="262">
        <f t="shared" si="24"/>
      </c>
      <c r="Y30" s="268">
        <f t="shared" si="25"/>
      </c>
      <c r="Z30" s="195">
        <f t="shared" si="12"/>
      </c>
      <c r="AA30" s="637"/>
      <c r="AB30" s="194">
        <f t="shared" si="13"/>
      </c>
      <c r="AC30" s="637"/>
      <c r="AD30" s="194">
        <f t="shared" si="14"/>
      </c>
      <c r="AE30" s="637"/>
      <c r="AF30" s="194">
        <f t="shared" si="15"/>
      </c>
      <c r="AI30" s="298">
        <f t="shared" si="26"/>
      </c>
      <c r="AJ30" s="299">
        <f t="shared" si="27"/>
      </c>
      <c r="AK30" s="299">
        <f t="shared" si="28"/>
      </c>
      <c r="AL30" s="299">
        <f t="shared" si="29"/>
      </c>
      <c r="AM30" s="299">
        <f t="shared" si="30"/>
      </c>
      <c r="AN30" s="403">
        <f t="shared" si="31"/>
      </c>
      <c r="AO30" s="403">
        <f t="shared" si="32"/>
      </c>
      <c r="AP30" s="403">
        <f t="shared" si="33"/>
      </c>
      <c r="AQ30" s="404">
        <f t="shared" si="34"/>
      </c>
    </row>
    <row r="31" spans="3:43" ht="15">
      <c r="C31" s="637"/>
      <c r="D31" s="637"/>
      <c r="E31" s="637"/>
      <c r="F31" s="637"/>
      <c r="G31" s="637"/>
      <c r="H31" s="637"/>
      <c r="I31" s="267">
        <f t="shared" si="16"/>
      </c>
      <c r="J31" s="262">
        <f t="shared" si="17"/>
      </c>
      <c r="K31" s="260">
        <f t="shared" si="18"/>
      </c>
      <c r="L31" s="637"/>
      <c r="M31" s="267">
        <f t="shared" si="19"/>
      </c>
      <c r="N31" s="262">
        <f t="shared" si="20"/>
      </c>
      <c r="O31" s="260">
        <f t="shared" si="21"/>
      </c>
      <c r="P31" s="637"/>
      <c r="Q31" s="637"/>
      <c r="R31" s="267">
        <f t="shared" si="22"/>
      </c>
      <c r="S31" s="260">
        <f aca="true" t="shared" si="36" ref="S31:S37">IF(P31="","",(((($D31*$E31*$P31/12)+($F31*$AP31*$D31))*$D$12)/2000))</f>
      </c>
      <c r="T31" s="637"/>
      <c r="U31" s="267">
        <f t="shared" si="23"/>
      </c>
      <c r="V31" s="260">
        <f t="shared" si="35"/>
      </c>
      <c r="W31" s="637"/>
      <c r="X31" s="262">
        <f t="shared" si="24"/>
      </c>
      <c r="Y31" s="268">
        <f t="shared" si="25"/>
      </c>
      <c r="Z31" s="195">
        <f t="shared" si="12"/>
      </c>
      <c r="AA31" s="637"/>
      <c r="AB31" s="194">
        <f t="shared" si="13"/>
      </c>
      <c r="AC31" s="637"/>
      <c r="AD31" s="194">
        <f t="shared" si="14"/>
      </c>
      <c r="AE31" s="637"/>
      <c r="AF31" s="194">
        <f t="shared" si="15"/>
      </c>
      <c r="AI31" s="298">
        <f t="shared" si="26"/>
      </c>
      <c r="AJ31" s="299">
        <f t="shared" si="27"/>
      </c>
      <c r="AK31" s="299">
        <f t="shared" si="28"/>
      </c>
      <c r="AL31" s="299">
        <f t="shared" si="29"/>
      </c>
      <c r="AM31" s="299">
        <f t="shared" si="30"/>
      </c>
      <c r="AN31" s="403">
        <f t="shared" si="31"/>
      </c>
      <c r="AO31" s="403">
        <f t="shared" si="32"/>
      </c>
      <c r="AP31" s="403">
        <f t="shared" si="33"/>
      </c>
      <c r="AQ31" s="404">
        <f t="shared" si="34"/>
      </c>
    </row>
    <row r="32" spans="3:43" ht="15">
      <c r="C32" s="637"/>
      <c r="D32" s="637"/>
      <c r="E32" s="637"/>
      <c r="F32" s="637"/>
      <c r="G32" s="637"/>
      <c r="H32" s="637"/>
      <c r="I32" s="267">
        <f t="shared" si="16"/>
      </c>
      <c r="J32" s="262">
        <f t="shared" si="17"/>
      </c>
      <c r="K32" s="260">
        <f t="shared" si="18"/>
      </c>
      <c r="L32" s="637"/>
      <c r="M32" s="267">
        <f t="shared" si="19"/>
      </c>
      <c r="N32" s="262">
        <f t="shared" si="20"/>
      </c>
      <c r="O32" s="260">
        <f t="shared" si="21"/>
      </c>
      <c r="P32" s="637"/>
      <c r="Q32" s="637"/>
      <c r="R32" s="267">
        <f t="shared" si="22"/>
      </c>
      <c r="S32" s="260">
        <f t="shared" si="36"/>
      </c>
      <c r="T32" s="637"/>
      <c r="U32" s="267">
        <f t="shared" si="23"/>
      </c>
      <c r="V32" s="260">
        <f t="shared" si="35"/>
      </c>
      <c r="W32" s="637"/>
      <c r="X32" s="262">
        <f t="shared" si="24"/>
      </c>
      <c r="Y32" s="268">
        <f t="shared" si="25"/>
      </c>
      <c r="Z32" s="195">
        <f t="shared" si="12"/>
      </c>
      <c r="AA32" s="637"/>
      <c r="AB32" s="194">
        <f t="shared" si="13"/>
      </c>
      <c r="AC32" s="637"/>
      <c r="AD32" s="194">
        <f t="shared" si="14"/>
      </c>
      <c r="AE32" s="637"/>
      <c r="AF32" s="194">
        <f t="shared" si="15"/>
      </c>
      <c r="AI32" s="298">
        <f t="shared" si="26"/>
      </c>
      <c r="AJ32" s="299">
        <f t="shared" si="27"/>
      </c>
      <c r="AK32" s="299">
        <f t="shared" si="28"/>
      </c>
      <c r="AL32" s="299">
        <f t="shared" si="29"/>
      </c>
      <c r="AM32" s="299">
        <f t="shared" si="30"/>
      </c>
      <c r="AN32" s="403">
        <f t="shared" si="31"/>
      </c>
      <c r="AO32" s="403">
        <f t="shared" si="32"/>
      </c>
      <c r="AP32" s="403">
        <f t="shared" si="33"/>
      </c>
      <c r="AQ32" s="404">
        <f t="shared" si="34"/>
      </c>
    </row>
    <row r="33" spans="3:43" ht="15">
      <c r="C33" s="637"/>
      <c r="D33" s="637"/>
      <c r="E33" s="637"/>
      <c r="F33" s="637"/>
      <c r="G33" s="637"/>
      <c r="H33" s="637"/>
      <c r="I33" s="267">
        <f t="shared" si="16"/>
      </c>
      <c r="J33" s="262">
        <f t="shared" si="17"/>
      </c>
      <c r="K33" s="260">
        <f t="shared" si="18"/>
      </c>
      <c r="L33" s="637"/>
      <c r="M33" s="267">
        <f t="shared" si="19"/>
      </c>
      <c r="N33" s="262">
        <f t="shared" si="20"/>
      </c>
      <c r="O33" s="260">
        <f t="shared" si="21"/>
      </c>
      <c r="P33" s="637"/>
      <c r="Q33" s="637"/>
      <c r="R33" s="267">
        <f t="shared" si="22"/>
      </c>
      <c r="S33" s="260">
        <f t="shared" si="36"/>
      </c>
      <c r="T33" s="637"/>
      <c r="U33" s="267">
        <f t="shared" si="23"/>
      </c>
      <c r="V33" s="260">
        <f t="shared" si="35"/>
      </c>
      <c r="W33" s="637"/>
      <c r="X33" s="262">
        <f t="shared" si="24"/>
      </c>
      <c r="Y33" s="268">
        <f t="shared" si="25"/>
      </c>
      <c r="Z33" s="195">
        <f t="shared" si="12"/>
      </c>
      <c r="AA33" s="637"/>
      <c r="AB33" s="194">
        <f t="shared" si="13"/>
      </c>
      <c r="AC33" s="637"/>
      <c r="AD33" s="194">
        <f t="shared" si="14"/>
      </c>
      <c r="AE33" s="637"/>
      <c r="AF33" s="194">
        <f t="shared" si="15"/>
      </c>
      <c r="AI33" s="298">
        <f t="shared" si="26"/>
      </c>
      <c r="AJ33" s="299">
        <f t="shared" si="27"/>
      </c>
      <c r="AK33" s="299">
        <f t="shared" si="28"/>
      </c>
      <c r="AL33" s="299">
        <f t="shared" si="29"/>
      </c>
      <c r="AM33" s="299">
        <f t="shared" si="30"/>
      </c>
      <c r="AN33" s="403">
        <f t="shared" si="31"/>
      </c>
      <c r="AO33" s="403">
        <f t="shared" si="32"/>
      </c>
      <c r="AP33" s="403">
        <f t="shared" si="33"/>
      </c>
      <c r="AQ33" s="404">
        <f t="shared" si="34"/>
      </c>
    </row>
    <row r="34" spans="3:43" ht="15">
      <c r="C34" s="637"/>
      <c r="D34" s="637"/>
      <c r="E34" s="637"/>
      <c r="F34" s="637"/>
      <c r="G34" s="637"/>
      <c r="H34" s="637"/>
      <c r="I34" s="267">
        <f t="shared" si="16"/>
      </c>
      <c r="J34" s="262">
        <f t="shared" si="17"/>
      </c>
      <c r="K34" s="260">
        <f t="shared" si="18"/>
      </c>
      <c r="L34" s="637"/>
      <c r="M34" s="267">
        <f t="shared" si="19"/>
      </c>
      <c r="N34" s="262">
        <f t="shared" si="20"/>
      </c>
      <c r="O34" s="260">
        <f t="shared" si="21"/>
      </c>
      <c r="P34" s="637"/>
      <c r="Q34" s="637"/>
      <c r="R34" s="267">
        <f t="shared" si="22"/>
      </c>
      <c r="S34" s="260">
        <f t="shared" si="36"/>
      </c>
      <c r="T34" s="637"/>
      <c r="U34" s="267">
        <f t="shared" si="23"/>
      </c>
      <c r="V34" s="260">
        <f t="shared" si="35"/>
      </c>
      <c r="W34" s="637"/>
      <c r="X34" s="262">
        <f t="shared" si="24"/>
      </c>
      <c r="Y34" s="268">
        <f t="shared" si="25"/>
      </c>
      <c r="Z34" s="195">
        <f t="shared" si="12"/>
      </c>
      <c r="AA34" s="637"/>
      <c r="AB34" s="194">
        <f t="shared" si="13"/>
      </c>
      <c r="AC34" s="637"/>
      <c r="AD34" s="194">
        <f t="shared" si="14"/>
      </c>
      <c r="AE34" s="637"/>
      <c r="AF34" s="194">
        <f t="shared" si="15"/>
      </c>
      <c r="AI34" s="298">
        <f t="shared" si="26"/>
      </c>
      <c r="AJ34" s="299">
        <f t="shared" si="27"/>
      </c>
      <c r="AK34" s="299">
        <f t="shared" si="28"/>
      </c>
      <c r="AL34" s="299">
        <f t="shared" si="29"/>
      </c>
      <c r="AM34" s="299">
        <f t="shared" si="30"/>
      </c>
      <c r="AN34" s="403">
        <f t="shared" si="31"/>
      </c>
      <c r="AO34" s="403">
        <f t="shared" si="32"/>
      </c>
      <c r="AP34" s="403">
        <f t="shared" si="33"/>
      </c>
      <c r="AQ34" s="404">
        <f t="shared" si="34"/>
      </c>
    </row>
    <row r="35" spans="3:43" ht="15">
      <c r="C35" s="637"/>
      <c r="D35" s="637"/>
      <c r="E35" s="637"/>
      <c r="F35" s="637"/>
      <c r="G35" s="637"/>
      <c r="H35" s="637"/>
      <c r="I35" s="267">
        <f t="shared" si="16"/>
      </c>
      <c r="J35" s="262">
        <f t="shared" si="17"/>
      </c>
      <c r="K35" s="260">
        <f t="shared" si="18"/>
      </c>
      <c r="L35" s="637"/>
      <c r="M35" s="267">
        <f t="shared" si="19"/>
      </c>
      <c r="N35" s="262">
        <f t="shared" si="20"/>
      </c>
      <c r="O35" s="260">
        <f t="shared" si="21"/>
      </c>
      <c r="P35" s="637"/>
      <c r="Q35" s="637"/>
      <c r="R35" s="267">
        <f t="shared" si="22"/>
      </c>
      <c r="S35" s="260">
        <f t="shared" si="36"/>
      </c>
      <c r="T35" s="637"/>
      <c r="U35" s="267">
        <f t="shared" si="23"/>
      </c>
      <c r="V35" s="260">
        <f t="shared" si="35"/>
      </c>
      <c r="W35" s="637"/>
      <c r="X35" s="262">
        <f t="shared" si="24"/>
      </c>
      <c r="Y35" s="268">
        <f t="shared" si="25"/>
      </c>
      <c r="Z35" s="195">
        <f t="shared" si="12"/>
      </c>
      <c r="AA35" s="637"/>
      <c r="AB35" s="194">
        <f t="shared" si="13"/>
      </c>
      <c r="AC35" s="637"/>
      <c r="AD35" s="194">
        <f t="shared" si="14"/>
      </c>
      <c r="AE35" s="637"/>
      <c r="AF35" s="194">
        <f t="shared" si="15"/>
      </c>
      <c r="AI35" s="298">
        <f t="shared" si="26"/>
      </c>
      <c r="AJ35" s="299">
        <f t="shared" si="27"/>
      </c>
      <c r="AK35" s="299">
        <f t="shared" si="28"/>
      </c>
      <c r="AL35" s="299">
        <f t="shared" si="29"/>
      </c>
      <c r="AM35" s="299">
        <f t="shared" si="30"/>
      </c>
      <c r="AN35" s="403">
        <f t="shared" si="31"/>
      </c>
      <c r="AO35" s="403">
        <f t="shared" si="32"/>
      </c>
      <c r="AP35" s="403">
        <f t="shared" si="33"/>
      </c>
      <c r="AQ35" s="404">
        <f t="shared" si="34"/>
      </c>
    </row>
    <row r="36" spans="3:43" ht="15">
      <c r="C36" s="637"/>
      <c r="D36" s="637"/>
      <c r="E36" s="637"/>
      <c r="F36" s="637"/>
      <c r="G36" s="637"/>
      <c r="H36" s="637"/>
      <c r="I36" s="267">
        <f t="shared" si="16"/>
      </c>
      <c r="J36" s="262">
        <f t="shared" si="17"/>
      </c>
      <c r="K36" s="260">
        <f t="shared" si="18"/>
      </c>
      <c r="L36" s="637"/>
      <c r="M36" s="267">
        <f t="shared" si="19"/>
      </c>
      <c r="N36" s="262">
        <f t="shared" si="20"/>
      </c>
      <c r="O36" s="260">
        <f t="shared" si="21"/>
      </c>
      <c r="P36" s="637"/>
      <c r="Q36" s="637"/>
      <c r="R36" s="267">
        <f t="shared" si="22"/>
      </c>
      <c r="S36" s="260">
        <f t="shared" si="36"/>
      </c>
      <c r="T36" s="637"/>
      <c r="U36" s="267">
        <f t="shared" si="23"/>
      </c>
      <c r="V36" s="260">
        <f t="shared" si="35"/>
      </c>
      <c r="W36" s="637"/>
      <c r="X36" s="262">
        <f t="shared" si="24"/>
      </c>
      <c r="Y36" s="268">
        <f t="shared" si="25"/>
      </c>
      <c r="Z36" s="195">
        <f t="shared" si="12"/>
      </c>
      <c r="AA36" s="637"/>
      <c r="AB36" s="194">
        <f t="shared" si="13"/>
      </c>
      <c r="AC36" s="637"/>
      <c r="AD36" s="194">
        <f t="shared" si="14"/>
      </c>
      <c r="AE36" s="637"/>
      <c r="AF36" s="194">
        <f t="shared" si="15"/>
      </c>
      <c r="AI36" s="298">
        <f t="shared" si="26"/>
      </c>
      <c r="AJ36" s="299">
        <f t="shared" si="27"/>
      </c>
      <c r="AK36" s="299">
        <f t="shared" si="28"/>
      </c>
      <c r="AL36" s="299">
        <f t="shared" si="29"/>
      </c>
      <c r="AM36" s="299">
        <f t="shared" si="30"/>
      </c>
      <c r="AN36" s="403">
        <f t="shared" si="31"/>
      </c>
      <c r="AO36" s="403">
        <f t="shared" si="32"/>
      </c>
      <c r="AP36" s="403">
        <f t="shared" si="33"/>
      </c>
      <c r="AQ36" s="404">
        <f t="shared" si="34"/>
      </c>
    </row>
    <row r="37" spans="3:43" ht="15.75" thickBot="1">
      <c r="C37" s="637"/>
      <c r="D37" s="637"/>
      <c r="E37" s="637"/>
      <c r="F37" s="637"/>
      <c r="G37" s="637"/>
      <c r="H37" s="637"/>
      <c r="I37" s="267">
        <f t="shared" si="16"/>
      </c>
      <c r="J37" s="262">
        <f t="shared" si="17"/>
      </c>
      <c r="K37" s="260">
        <f t="shared" si="18"/>
      </c>
      <c r="L37" s="637"/>
      <c r="M37" s="267">
        <f t="shared" si="19"/>
      </c>
      <c r="N37" s="262">
        <f t="shared" si="20"/>
      </c>
      <c r="O37" s="260">
        <f t="shared" si="21"/>
      </c>
      <c r="P37" s="637"/>
      <c r="Q37" s="637"/>
      <c r="R37" s="267">
        <f t="shared" si="22"/>
      </c>
      <c r="S37" s="260">
        <f t="shared" si="36"/>
      </c>
      <c r="T37" s="637"/>
      <c r="U37" s="267">
        <f t="shared" si="23"/>
      </c>
      <c r="V37" s="260">
        <f t="shared" si="35"/>
      </c>
      <c r="W37" s="637"/>
      <c r="X37" s="262">
        <f t="shared" si="24"/>
      </c>
      <c r="Y37" s="268">
        <f t="shared" si="25"/>
      </c>
      <c r="Z37" s="281">
        <f t="shared" si="12"/>
      </c>
      <c r="AA37" s="637"/>
      <c r="AB37" s="280">
        <f t="shared" si="13"/>
      </c>
      <c r="AC37" s="637"/>
      <c r="AD37" s="280">
        <f t="shared" si="14"/>
      </c>
      <c r="AE37" s="637"/>
      <c r="AF37" s="280">
        <f t="shared" si="15"/>
      </c>
      <c r="AI37" s="298">
        <f t="shared" si="26"/>
      </c>
      <c r="AJ37" s="299">
        <f t="shared" si="27"/>
      </c>
      <c r="AK37" s="299">
        <f t="shared" si="28"/>
      </c>
      <c r="AL37" s="299">
        <f t="shared" si="29"/>
      </c>
      <c r="AM37" s="299">
        <f t="shared" si="30"/>
      </c>
      <c r="AN37" s="403">
        <f t="shared" si="31"/>
      </c>
      <c r="AO37" s="403">
        <f t="shared" si="32"/>
      </c>
      <c r="AP37" s="403">
        <f t="shared" si="33"/>
      </c>
      <c r="AQ37" s="404">
        <f t="shared" si="34"/>
      </c>
    </row>
    <row r="38" spans="3:32" ht="14.25" thickBot="1" thickTop="1">
      <c r="C38" s="820" t="s">
        <v>75</v>
      </c>
      <c r="D38" s="821"/>
      <c r="E38" s="821"/>
      <c r="F38" s="821"/>
      <c r="G38" s="822"/>
      <c r="H38" s="803"/>
      <c r="I38" s="805"/>
      <c r="J38" s="303">
        <f>ROUNDUP(SUM(J28:J37),0)</f>
        <v>0</v>
      </c>
      <c r="K38" s="304">
        <f>ROUNDUP(SUM(K28:K37),0)</f>
        <v>0</v>
      </c>
      <c r="L38" s="803"/>
      <c r="M38" s="805"/>
      <c r="N38" s="303">
        <f>ROUNDUP(SUM(N28:N37),0)</f>
        <v>0</v>
      </c>
      <c r="O38" s="304">
        <f>ROUNDUP(SUM(O28:O37),0)</f>
        <v>0</v>
      </c>
      <c r="P38" s="300"/>
      <c r="Q38" s="302"/>
      <c r="R38" s="301"/>
      <c r="S38" s="289">
        <f>ROUNDUP(SUM(S28:S37),0)</f>
        <v>0</v>
      </c>
      <c r="T38" s="803"/>
      <c r="U38" s="805"/>
      <c r="V38" s="293">
        <f>ROUNDUP(SUM(V28:V37),0)</f>
        <v>0</v>
      </c>
      <c r="W38" s="291"/>
      <c r="X38" s="292">
        <f>ROUNDUP(SUM(X28:X37),0)</f>
        <v>0</v>
      </c>
      <c r="Y38" s="293">
        <f>ROUNDUP(SUM(Y28:Y37),0)</f>
        <v>0</v>
      </c>
      <c r="Z38" s="294">
        <f>ROUNDUP(SUM(Z28:Z37),0)</f>
        <v>0</v>
      </c>
      <c r="AA38" s="291"/>
      <c r="AB38" s="293">
        <f>ROUNDUP(SUM(AB28:AB37),0)</f>
        <v>0</v>
      </c>
      <c r="AC38" s="291"/>
      <c r="AD38" s="293">
        <f>ROUNDUP(SUM(AD28:AD37),0)</f>
        <v>0</v>
      </c>
      <c r="AE38" s="291"/>
      <c r="AF38" s="293">
        <f>ROUNDUP(SUM(AF28:AF37),0)</f>
        <v>0</v>
      </c>
    </row>
    <row r="39" spans="3:36" ht="12.75">
      <c r="C39" s="179"/>
      <c r="D39" s="179"/>
      <c r="E39" s="179"/>
      <c r="F39" s="179"/>
      <c r="G39" s="179"/>
      <c r="H39" s="179"/>
      <c r="I39" s="179"/>
      <c r="J39" s="179"/>
      <c r="K39" s="179"/>
      <c r="L39" s="179"/>
      <c r="M39" s="179"/>
      <c r="N39" s="179"/>
      <c r="O39" s="179"/>
      <c r="P39" s="179"/>
      <c r="Q39" s="179"/>
      <c r="R39" s="179"/>
      <c r="S39" s="179"/>
      <c r="U39" s="179"/>
      <c r="V39" s="179"/>
      <c r="W39" s="179"/>
      <c r="X39" s="179"/>
      <c r="Y39" s="179"/>
      <c r="Z39" s="179"/>
      <c r="AA39" s="179"/>
      <c r="AB39" s="179"/>
      <c r="AJ39" s="371"/>
    </row>
    <row r="40" spans="3:36" ht="15.75">
      <c r="C40" s="178" t="s">
        <v>69</v>
      </c>
      <c r="T40" s="178" t="s">
        <v>62</v>
      </c>
      <c r="AJ40" s="179"/>
    </row>
    <row r="41" ht="6" customHeight="1" thickBot="1">
      <c r="AJ41" s="179"/>
    </row>
    <row r="42" spans="3:36" ht="12.75">
      <c r="C42" s="806" t="s">
        <v>59</v>
      </c>
      <c r="D42" s="747" t="s">
        <v>70</v>
      </c>
      <c r="E42" s="811"/>
      <c r="F42" s="811"/>
      <c r="G42" s="748"/>
      <c r="H42" s="747" t="s">
        <v>37</v>
      </c>
      <c r="I42" s="811"/>
      <c r="J42" s="811"/>
      <c r="K42" s="811"/>
      <c r="L42" s="748"/>
      <c r="M42" s="747" t="s">
        <v>326</v>
      </c>
      <c r="N42" s="811"/>
      <c r="O42" s="811"/>
      <c r="P42" s="811"/>
      <c r="Q42" s="748"/>
      <c r="T42" s="823" t="s">
        <v>81</v>
      </c>
      <c r="U42" s="824"/>
      <c r="V42" s="824"/>
      <c r="W42" s="825"/>
      <c r="X42" s="255" t="s">
        <v>73</v>
      </c>
      <c r="Y42" s="766" t="s">
        <v>47</v>
      </c>
      <c r="Z42" s="771" t="s">
        <v>80</v>
      </c>
      <c r="AJ42" s="179"/>
    </row>
    <row r="43" spans="3:36" ht="12.75" customHeight="1">
      <c r="C43" s="807"/>
      <c r="D43" s="183" t="s">
        <v>31</v>
      </c>
      <c r="E43" s="7" t="s">
        <v>72</v>
      </c>
      <c r="F43" s="1" t="s">
        <v>32</v>
      </c>
      <c r="G43" s="177" t="s">
        <v>73</v>
      </c>
      <c r="H43" s="183" t="s">
        <v>31</v>
      </c>
      <c r="I43" s="7" t="s">
        <v>72</v>
      </c>
      <c r="J43" s="1" t="s">
        <v>32</v>
      </c>
      <c r="K43" s="7" t="s">
        <v>73</v>
      </c>
      <c r="L43" s="339" t="s">
        <v>33</v>
      </c>
      <c r="M43" s="183" t="s">
        <v>31</v>
      </c>
      <c r="N43" s="7" t="s">
        <v>72</v>
      </c>
      <c r="O43" s="1" t="s">
        <v>32</v>
      </c>
      <c r="P43" s="7" t="s">
        <v>73</v>
      </c>
      <c r="Q43" s="177" t="s">
        <v>33</v>
      </c>
      <c r="T43" s="826"/>
      <c r="U43" s="827"/>
      <c r="V43" s="827"/>
      <c r="W43" s="828"/>
      <c r="X43" s="183" t="s">
        <v>67</v>
      </c>
      <c r="Y43" s="767"/>
      <c r="Z43" s="772"/>
      <c r="AJ43" s="372"/>
    </row>
    <row r="44" spans="3:36" ht="13.5" thickBot="1">
      <c r="C44" s="808"/>
      <c r="D44" s="266" t="s">
        <v>11</v>
      </c>
      <c r="E44" s="252" t="s">
        <v>71</v>
      </c>
      <c r="F44" s="252" t="s">
        <v>11</v>
      </c>
      <c r="G44" s="270" t="s">
        <v>67</v>
      </c>
      <c r="H44" s="266" t="s">
        <v>11</v>
      </c>
      <c r="I44" s="252" t="s">
        <v>71</v>
      </c>
      <c r="J44" s="252" t="s">
        <v>11</v>
      </c>
      <c r="K44" s="252" t="s">
        <v>67</v>
      </c>
      <c r="L44" s="340"/>
      <c r="M44" s="266" t="s">
        <v>11</v>
      </c>
      <c r="N44" s="252" t="s">
        <v>71</v>
      </c>
      <c r="O44" s="252" t="s">
        <v>11</v>
      </c>
      <c r="P44" s="252" t="s">
        <v>67</v>
      </c>
      <c r="Q44" s="333"/>
      <c r="T44" s="768" t="str">
        <f>H25</f>
        <v>Granular Borrow</v>
      </c>
      <c r="U44" s="769"/>
      <c r="V44" s="769"/>
      <c r="W44" s="770"/>
      <c r="X44" s="256">
        <f>J38</f>
        <v>0</v>
      </c>
      <c r="Y44" s="199">
        <f>X44*$F$19</f>
        <v>0</v>
      </c>
      <c r="Z44" s="200">
        <f>Y44/1000</f>
        <v>0</v>
      </c>
      <c r="AJ44" s="179"/>
    </row>
    <row r="45" spans="3:36" ht="15">
      <c r="C45" s="272">
        <f>IF(C28="","",C28)</f>
      </c>
      <c r="D45" s="637"/>
      <c r="E45" s="637"/>
      <c r="F45" s="637"/>
      <c r="G45" s="260">
        <f aca="true" t="shared" si="37" ref="G45:G54">IF(F45="","",(D45*E45*F45/12)/27)</f>
      </c>
      <c r="H45" s="637"/>
      <c r="I45" s="637"/>
      <c r="J45" s="637"/>
      <c r="K45" s="273">
        <f>IF(J45="","",(H45*I45*J45/12)/27)</f>
      </c>
      <c r="L45" s="274">
        <f>IF(J45="","",(K45*27*$D$8/2000))</f>
      </c>
      <c r="M45" s="637"/>
      <c r="N45" s="637"/>
      <c r="O45" s="637"/>
      <c r="P45" s="273">
        <f>IF(O45="","",(M45*N45*O45/12)/27)</f>
      </c>
      <c r="Q45" s="274">
        <f>IF(O45="","",(P45*27*$D$9/2000))</f>
      </c>
      <c r="T45" s="768" t="str">
        <f>L25</f>
        <v>Untreated Base Course</v>
      </c>
      <c r="U45" s="769"/>
      <c r="V45" s="769"/>
      <c r="W45" s="770"/>
      <c r="X45" s="256">
        <f>N38</f>
        <v>0</v>
      </c>
      <c r="Y45" s="199">
        <f>X45*$F$20</f>
        <v>0</v>
      </c>
      <c r="Z45" s="200">
        <f>Y45/1000</f>
        <v>0</v>
      </c>
      <c r="AJ45" s="179"/>
    </row>
    <row r="46" spans="3:36" ht="15">
      <c r="C46" s="196">
        <f aca="true" t="shared" si="38" ref="C46:C54">IF(C29="","",C29)</f>
      </c>
      <c r="D46" s="637"/>
      <c r="E46" s="637"/>
      <c r="F46" s="637"/>
      <c r="G46" s="186">
        <f t="shared" si="37"/>
      </c>
      <c r="H46" s="637"/>
      <c r="I46" s="637"/>
      <c r="J46" s="637"/>
      <c r="K46" s="197">
        <f aca="true" t="shared" si="39" ref="K46:K52">IF(J46="","",(H46*I46*J46/12)/27)</f>
      </c>
      <c r="L46" s="198">
        <f aca="true" t="shared" si="40" ref="L46:L52">IF(J46="","",(K46*27*$D$8/2000))</f>
      </c>
      <c r="M46" s="637"/>
      <c r="N46" s="637"/>
      <c r="O46" s="637"/>
      <c r="P46" s="197">
        <f aca="true" t="shared" si="41" ref="P46:P52">IF(O46="","",(M46*N46*O46/12)/27)</f>
      </c>
      <c r="Q46" s="198">
        <f aca="true" t="shared" si="42" ref="Q46:Q52">IF(O46="","",(P46*27*$D$9/2000))</f>
      </c>
      <c r="T46" s="768" t="str">
        <f>H42</f>
        <v>Borrow</v>
      </c>
      <c r="U46" s="769"/>
      <c r="V46" s="769"/>
      <c r="W46" s="770"/>
      <c r="X46" s="256">
        <f>K55</f>
        <v>0</v>
      </c>
      <c r="Y46" s="199">
        <f>X46*$F$21</f>
        <v>0</v>
      </c>
      <c r="Z46" s="200">
        <f>Y46/1000</f>
        <v>0</v>
      </c>
      <c r="AJ46" s="179"/>
    </row>
    <row r="47" spans="3:36" ht="15.75" thickBot="1">
      <c r="C47" s="196">
        <f t="shared" si="38"/>
      </c>
      <c r="D47" s="637"/>
      <c r="E47" s="637"/>
      <c r="F47" s="637"/>
      <c r="G47" s="186">
        <f t="shared" si="37"/>
      </c>
      <c r="H47" s="637"/>
      <c r="I47" s="637"/>
      <c r="J47" s="637"/>
      <c r="K47" s="197">
        <f t="shared" si="39"/>
      </c>
      <c r="L47" s="198">
        <f t="shared" si="40"/>
      </c>
      <c r="M47" s="637"/>
      <c r="N47" s="637"/>
      <c r="O47" s="637"/>
      <c r="P47" s="197">
        <f t="shared" si="41"/>
      </c>
      <c r="Q47" s="198">
        <f t="shared" si="42"/>
      </c>
      <c r="T47" s="852" t="str">
        <f>M42</f>
        <v>Granular Backfill Borrow/Embankment</v>
      </c>
      <c r="U47" s="853"/>
      <c r="V47" s="853"/>
      <c r="W47" s="854"/>
      <c r="X47" s="282">
        <f>P55</f>
        <v>0</v>
      </c>
      <c r="Y47" s="283">
        <f>X47*$F$21</f>
        <v>0</v>
      </c>
      <c r="Z47" s="284">
        <f>Y47/1000</f>
        <v>0</v>
      </c>
      <c r="AJ47" s="179"/>
    </row>
    <row r="48" spans="3:36" ht="16.5" thickBot="1" thickTop="1">
      <c r="C48" s="196">
        <f t="shared" si="38"/>
      </c>
      <c r="D48" s="637"/>
      <c r="E48" s="637"/>
      <c r="F48" s="637"/>
      <c r="G48" s="186">
        <f t="shared" si="37"/>
      </c>
      <c r="H48" s="637"/>
      <c r="I48" s="637"/>
      <c r="J48" s="637"/>
      <c r="K48" s="197">
        <f t="shared" si="39"/>
      </c>
      <c r="L48" s="198">
        <f t="shared" si="40"/>
      </c>
      <c r="M48" s="637"/>
      <c r="N48" s="637"/>
      <c r="O48" s="637"/>
      <c r="P48" s="197">
        <f t="shared" si="41"/>
      </c>
      <c r="Q48" s="198">
        <f t="shared" si="42"/>
      </c>
      <c r="T48" s="773" t="s">
        <v>75</v>
      </c>
      <c r="U48" s="774"/>
      <c r="V48" s="774"/>
      <c r="W48" s="775"/>
      <c r="X48" s="850"/>
      <c r="Y48" s="851"/>
      <c r="Z48" s="289">
        <f>ROUNDUP(SUM(Z44:Z47),0)</f>
        <v>0</v>
      </c>
      <c r="AJ48" s="179"/>
    </row>
    <row r="49" spans="3:36" ht="15">
      <c r="C49" s="196">
        <f t="shared" si="38"/>
      </c>
      <c r="D49" s="637"/>
      <c r="E49" s="637"/>
      <c r="F49" s="637"/>
      <c r="G49" s="186">
        <f t="shared" si="37"/>
      </c>
      <c r="H49" s="637"/>
      <c r="I49" s="637"/>
      <c r="J49" s="637"/>
      <c r="K49" s="197">
        <f t="shared" si="39"/>
      </c>
      <c r="L49" s="198">
        <f t="shared" si="40"/>
      </c>
      <c r="M49" s="637"/>
      <c r="N49" s="637"/>
      <c r="O49" s="637"/>
      <c r="P49" s="197">
        <f t="shared" si="41"/>
      </c>
      <c r="Q49" s="198">
        <f t="shared" si="42"/>
      </c>
      <c r="AJ49" s="179"/>
    </row>
    <row r="50" spans="3:36" ht="15">
      <c r="C50" s="196">
        <f t="shared" si="38"/>
      </c>
      <c r="D50" s="637"/>
      <c r="E50" s="637"/>
      <c r="F50" s="637"/>
      <c r="G50" s="186">
        <f t="shared" si="37"/>
      </c>
      <c r="H50" s="637"/>
      <c r="I50" s="637"/>
      <c r="J50" s="637"/>
      <c r="K50" s="197">
        <f t="shared" si="39"/>
      </c>
      <c r="L50" s="198">
        <f t="shared" si="40"/>
      </c>
      <c r="M50" s="637"/>
      <c r="N50" s="637"/>
      <c r="O50" s="637"/>
      <c r="P50" s="197">
        <f t="shared" si="41"/>
      </c>
      <c r="Q50" s="198">
        <f t="shared" si="42"/>
      </c>
      <c r="AJ50" s="179"/>
    </row>
    <row r="51" spans="3:36" ht="15">
      <c r="C51" s="196">
        <f t="shared" si="38"/>
      </c>
      <c r="D51" s="637"/>
      <c r="E51" s="637"/>
      <c r="F51" s="637"/>
      <c r="G51" s="186">
        <f t="shared" si="37"/>
      </c>
      <c r="H51" s="637"/>
      <c r="I51" s="637"/>
      <c r="J51" s="637"/>
      <c r="K51" s="197">
        <f t="shared" si="39"/>
      </c>
      <c r="L51" s="198">
        <f t="shared" si="40"/>
      </c>
      <c r="M51" s="637"/>
      <c r="N51" s="637"/>
      <c r="O51" s="637"/>
      <c r="P51" s="197">
        <f t="shared" si="41"/>
      </c>
      <c r="Q51" s="198">
        <f t="shared" si="42"/>
      </c>
      <c r="AJ51" s="179"/>
    </row>
    <row r="52" spans="3:36" ht="15">
      <c r="C52" s="196">
        <f t="shared" si="38"/>
      </c>
      <c r="D52" s="637"/>
      <c r="E52" s="637"/>
      <c r="F52" s="637"/>
      <c r="G52" s="186">
        <f t="shared" si="37"/>
      </c>
      <c r="H52" s="637"/>
      <c r="I52" s="637"/>
      <c r="J52" s="637"/>
      <c r="K52" s="197">
        <f t="shared" si="39"/>
      </c>
      <c r="L52" s="198">
        <f t="shared" si="40"/>
      </c>
      <c r="M52" s="637"/>
      <c r="N52" s="637"/>
      <c r="O52" s="637"/>
      <c r="P52" s="197">
        <f t="shared" si="41"/>
      </c>
      <c r="Q52" s="198">
        <f t="shared" si="42"/>
      </c>
      <c r="AJ52" s="179"/>
    </row>
    <row r="53" spans="3:36" ht="15">
      <c r="C53" s="196">
        <f t="shared" si="38"/>
      </c>
      <c r="D53" s="637"/>
      <c r="E53" s="637"/>
      <c r="F53" s="637"/>
      <c r="G53" s="186">
        <f t="shared" si="37"/>
      </c>
      <c r="H53" s="637"/>
      <c r="I53" s="637"/>
      <c r="J53" s="637"/>
      <c r="K53" s="197">
        <f>IF(J53="","",(H53*I53*J53/12)/27)</f>
      </c>
      <c r="L53" s="198">
        <f>IF(J53="","",(K53*27*$D$8/2000))</f>
      </c>
      <c r="M53" s="637"/>
      <c r="N53" s="637"/>
      <c r="O53" s="637"/>
      <c r="P53" s="197">
        <f>IF(O53="","",(M53*N53*O53/12)/27)</f>
      </c>
      <c r="Q53" s="198">
        <f>IF(O53="","",(P53*27*$D$9/2000))</f>
      </c>
      <c r="AJ53" s="179"/>
    </row>
    <row r="54" spans="3:17" ht="15.75" thickBot="1">
      <c r="C54" s="285">
        <f t="shared" si="38"/>
      </c>
      <c r="D54" s="637"/>
      <c r="E54" s="637"/>
      <c r="F54" s="637"/>
      <c r="G54" s="276">
        <f t="shared" si="37"/>
      </c>
      <c r="H54" s="637"/>
      <c r="I54" s="637"/>
      <c r="J54" s="637"/>
      <c r="K54" s="286">
        <f>IF(J54="","",(H54*I54*J54/12)/27)</f>
      </c>
      <c r="L54" s="287">
        <f>IF(J54="","",(K54*27*$D$8/2000))</f>
      </c>
      <c r="M54" s="637"/>
      <c r="N54" s="637"/>
      <c r="O54" s="637"/>
      <c r="P54" s="286">
        <f>IF(O54="","",(M54*N54*O54/12)/27)</f>
      </c>
      <c r="Q54" s="287">
        <f>IF(O54="","",(P54*27*$D$9/2000))</f>
      </c>
    </row>
    <row r="55" spans="3:17" ht="14.25" thickBot="1" thickTop="1">
      <c r="C55" s="295" t="s">
        <v>75</v>
      </c>
      <c r="D55" s="300"/>
      <c r="E55" s="302"/>
      <c r="F55" s="301"/>
      <c r="G55" s="289">
        <f>ROUNDUP(SUM(G45:G54),0)</f>
        <v>0</v>
      </c>
      <c r="H55" s="328"/>
      <c r="I55" s="332"/>
      <c r="J55" s="288"/>
      <c r="K55" s="303">
        <f>ROUNDUP(SUM(K45:K54),0)</f>
        <v>0</v>
      </c>
      <c r="L55" s="304">
        <f>ROUNDUP(SUM(L45:L54),0)</f>
        <v>0</v>
      </c>
      <c r="M55" s="328"/>
      <c r="N55" s="332"/>
      <c r="O55" s="288"/>
      <c r="P55" s="303">
        <f>ROUNDUP(SUM(P45:P54),0)</f>
        <v>0</v>
      </c>
      <c r="Q55" s="304">
        <f>ROUNDUP(SUM(Q45:Q54),0)</f>
        <v>0</v>
      </c>
    </row>
    <row r="56" spans="3:17" ht="12.75">
      <c r="C56" s="350"/>
      <c r="D56" s="351"/>
      <c r="E56" s="351"/>
      <c r="F56" s="351"/>
      <c r="G56" s="352"/>
      <c r="H56" s="353"/>
      <c r="I56" s="353"/>
      <c r="J56" s="353"/>
      <c r="K56" s="354"/>
      <c r="L56" s="354"/>
      <c r="M56" s="353"/>
      <c r="N56" s="353"/>
      <c r="O56" s="353"/>
      <c r="P56" s="354"/>
      <c r="Q56" s="354"/>
    </row>
    <row r="57" spans="3:17" ht="12.75">
      <c r="C57" s="350"/>
      <c r="D57" s="351"/>
      <c r="E57" s="351"/>
      <c r="F57" s="351"/>
      <c r="G57" s="352"/>
      <c r="H57" s="353"/>
      <c r="I57" s="353"/>
      <c r="J57" s="353"/>
      <c r="K57" s="354"/>
      <c r="L57" s="354"/>
      <c r="M57" s="353"/>
      <c r="N57" s="353"/>
      <c r="O57" s="353"/>
      <c r="P57" s="354"/>
      <c r="Q57" s="354"/>
    </row>
    <row r="58" spans="3:12" ht="15.75">
      <c r="C58" s="178" t="s">
        <v>46</v>
      </c>
      <c r="L58" s="178" t="s">
        <v>347</v>
      </c>
    </row>
    <row r="59" ht="6" customHeight="1" thickBot="1"/>
    <row r="60" spans="3:17" ht="12.75" customHeight="1">
      <c r="C60" s="806" t="s">
        <v>59</v>
      </c>
      <c r="D60" s="865" t="s">
        <v>31</v>
      </c>
      <c r="E60" s="754" t="s">
        <v>346</v>
      </c>
      <c r="F60" s="754" t="s">
        <v>2458</v>
      </c>
      <c r="G60" s="754" t="s">
        <v>348</v>
      </c>
      <c r="H60" s="868" t="s">
        <v>353</v>
      </c>
      <c r="I60" s="878" t="s">
        <v>31</v>
      </c>
      <c r="J60" s="868" t="s">
        <v>46</v>
      </c>
      <c r="K60" s="363"/>
      <c r="L60" s="776" t="s">
        <v>354</v>
      </c>
      <c r="M60" s="777"/>
      <c r="N60" s="777"/>
      <c r="O60" s="778"/>
      <c r="P60" s="863" t="s">
        <v>352</v>
      </c>
      <c r="Q60" s="364"/>
    </row>
    <row r="61" spans="3:17" ht="34.5" customHeight="1" thickBot="1">
      <c r="C61" s="807"/>
      <c r="D61" s="866"/>
      <c r="E61" s="755"/>
      <c r="F61" s="867"/>
      <c r="G61" s="755"/>
      <c r="H61" s="869"/>
      <c r="I61" s="879"/>
      <c r="J61" s="880"/>
      <c r="K61" s="365"/>
      <c r="L61" s="779"/>
      <c r="M61" s="780"/>
      <c r="N61" s="780"/>
      <c r="O61" s="781"/>
      <c r="P61" s="864"/>
      <c r="Q61" s="10"/>
    </row>
    <row r="62" spans="3:17" ht="13.5" customHeight="1" thickBot="1">
      <c r="C62" s="808"/>
      <c r="D62" s="266" t="s">
        <v>11</v>
      </c>
      <c r="E62" s="756"/>
      <c r="F62" s="835"/>
      <c r="G62" s="756"/>
      <c r="H62" s="379" t="s">
        <v>11</v>
      </c>
      <c r="I62" s="355" t="s">
        <v>11</v>
      </c>
      <c r="J62" s="358" t="s">
        <v>47</v>
      </c>
      <c r="K62" s="366"/>
      <c r="L62" s="881" t="s">
        <v>351</v>
      </c>
      <c r="M62" s="882"/>
      <c r="N62" s="882"/>
      <c r="O62" s="883"/>
      <c r="P62" s="637">
        <v>190</v>
      </c>
      <c r="Q62" s="10"/>
    </row>
    <row r="63" spans="3:17" ht="15">
      <c r="C63" s="272">
        <f aca="true" t="shared" si="43" ref="C63:C72">IF(C45="","",C45)</f>
      </c>
      <c r="D63" s="637"/>
      <c r="E63" s="637"/>
      <c r="F63" s="637"/>
      <c r="G63" s="637"/>
      <c r="H63" s="637"/>
      <c r="I63" s="357">
        <f>IF($D63="","",($D63*$E63)+($D63*$F63)+($D63*$G63)+($H63))</f>
      </c>
      <c r="J63" s="359">
        <f>IF($I63="","",ROUNDUP(($D63*$E63/$P$62)+($D63*$F63/$P$63)+($D63*$G63/$P$64)+($H63/$P$65),0)*2)</f>
      </c>
      <c r="K63" s="360"/>
      <c r="L63" s="884" t="s">
        <v>350</v>
      </c>
      <c r="M63" s="885"/>
      <c r="N63" s="885"/>
      <c r="O63" s="886"/>
      <c r="P63" s="637">
        <v>760</v>
      </c>
      <c r="Q63" s="361"/>
    </row>
    <row r="64" spans="3:17" ht="15">
      <c r="C64" s="196">
        <f t="shared" si="43"/>
      </c>
      <c r="D64" s="637"/>
      <c r="E64" s="637"/>
      <c r="F64" s="637"/>
      <c r="G64" s="637"/>
      <c r="H64" s="637"/>
      <c r="I64" s="357">
        <f aca="true" t="shared" si="44" ref="I64:I72">IF($D64="","",($D64*$E64)+($D64*$F64)+($D64*$G64)+($H64))</f>
      </c>
      <c r="J64" s="359">
        <f>IF($I64="","",ROUNDUP(($D64*$E64/$P$62)+($D64*$F64/$P$63)+($D64*$G64/$P$64)+($H64/$P$65),0)*2)</f>
      </c>
      <c r="K64" s="360"/>
      <c r="L64" s="884" t="s">
        <v>345</v>
      </c>
      <c r="M64" s="885"/>
      <c r="N64" s="885"/>
      <c r="O64" s="886"/>
      <c r="P64" s="637">
        <v>95</v>
      </c>
      <c r="Q64" s="361"/>
    </row>
    <row r="65" spans="3:17" ht="15.75" thickBot="1">
      <c r="C65" s="196">
        <f t="shared" si="43"/>
      </c>
      <c r="D65" s="637"/>
      <c r="E65" s="637"/>
      <c r="F65" s="637"/>
      <c r="G65" s="637"/>
      <c r="H65" s="637"/>
      <c r="I65" s="357">
        <f t="shared" si="44"/>
      </c>
      <c r="J65" s="359">
        <f aca="true" t="shared" si="45" ref="J65:J72">IF($I65="","",ROUNDUP(($D65*$E65/$P$62)+($D65*$F65/$P$63)+($D65*$G65/$P$64)+($H65/$P$65),0)*2)</f>
      </c>
      <c r="K65" s="360"/>
      <c r="L65" s="875" t="s">
        <v>349</v>
      </c>
      <c r="M65" s="876"/>
      <c r="N65" s="876"/>
      <c r="O65" s="877"/>
      <c r="P65" s="637">
        <f>P62</f>
        <v>190</v>
      </c>
      <c r="Q65" s="361"/>
    </row>
    <row r="66" spans="3:17" ht="15">
      <c r="C66" s="196">
        <f t="shared" si="43"/>
      </c>
      <c r="D66" s="637"/>
      <c r="E66" s="637"/>
      <c r="F66" s="637"/>
      <c r="G66" s="637"/>
      <c r="H66" s="637"/>
      <c r="I66" s="357">
        <f t="shared" si="44"/>
      </c>
      <c r="J66" s="359">
        <f t="shared" si="45"/>
      </c>
      <c r="K66" s="360"/>
      <c r="Q66" s="361"/>
    </row>
    <row r="67" spans="3:17" ht="15">
      <c r="C67" s="196">
        <f t="shared" si="43"/>
      </c>
      <c r="D67" s="637"/>
      <c r="E67" s="637"/>
      <c r="F67" s="637"/>
      <c r="G67" s="637"/>
      <c r="H67" s="637"/>
      <c r="I67" s="357">
        <f t="shared" si="44"/>
      </c>
      <c r="J67" s="359">
        <f t="shared" si="45"/>
      </c>
      <c r="K67" s="360"/>
      <c r="Q67" s="361"/>
    </row>
    <row r="68" spans="3:28" ht="15">
      <c r="C68" s="196">
        <f t="shared" si="43"/>
      </c>
      <c r="D68" s="637"/>
      <c r="E68" s="637"/>
      <c r="F68" s="637"/>
      <c r="G68" s="637"/>
      <c r="H68" s="637"/>
      <c r="I68" s="357">
        <f t="shared" si="44"/>
      </c>
      <c r="J68" s="359">
        <f t="shared" si="45"/>
      </c>
      <c r="K68" s="360"/>
      <c r="Q68" s="361"/>
      <c r="T68" s="368"/>
      <c r="U68" s="368"/>
      <c r="V68" s="373"/>
      <c r="W68" s="373"/>
      <c r="X68" s="356"/>
      <c r="Y68" s="374">
        <f>IF(U68="","",(U68*V68)+(U68*W68)+(U68*X68)+(#REF!))</f>
      </c>
      <c r="Z68" s="374"/>
      <c r="AA68" s="374"/>
      <c r="AB68" s="374"/>
    </row>
    <row r="69" spans="3:28" ht="15">
      <c r="C69" s="196">
        <f t="shared" si="43"/>
      </c>
      <c r="D69" s="637"/>
      <c r="E69" s="637"/>
      <c r="F69" s="637"/>
      <c r="G69" s="637"/>
      <c r="H69" s="637"/>
      <c r="I69" s="357">
        <f t="shared" si="44"/>
      </c>
      <c r="J69" s="359">
        <f t="shared" si="45"/>
      </c>
      <c r="K69" s="360"/>
      <c r="Q69" s="361"/>
      <c r="T69" s="368"/>
      <c r="U69" s="368"/>
      <c r="V69" s="373"/>
      <c r="W69" s="373"/>
      <c r="X69" s="356"/>
      <c r="Y69" s="374">
        <f>IF(U69="","",(U69*V69)+(U69*W69)+(U69*X69)+(#REF!))</f>
      </c>
      <c r="Z69" s="374"/>
      <c r="AA69" s="374"/>
      <c r="AB69" s="374"/>
    </row>
    <row r="70" spans="3:17" ht="15">
      <c r="C70" s="196">
        <f t="shared" si="43"/>
      </c>
      <c r="D70" s="637"/>
      <c r="E70" s="637"/>
      <c r="F70" s="637"/>
      <c r="G70" s="637"/>
      <c r="H70" s="637"/>
      <c r="I70" s="357">
        <f t="shared" si="44"/>
      </c>
      <c r="J70" s="359">
        <f t="shared" si="45"/>
      </c>
      <c r="K70" s="360"/>
      <c r="L70" s="361"/>
      <c r="M70" s="361"/>
      <c r="N70" s="362"/>
      <c r="O70" s="362"/>
      <c r="P70" s="361"/>
      <c r="Q70" s="361"/>
    </row>
    <row r="71" spans="3:17" ht="15">
      <c r="C71" s="196">
        <f t="shared" si="43"/>
      </c>
      <c r="D71" s="637"/>
      <c r="E71" s="637"/>
      <c r="F71" s="637"/>
      <c r="G71" s="637"/>
      <c r="H71" s="637"/>
      <c r="I71" s="357">
        <f t="shared" si="44"/>
      </c>
      <c r="J71" s="359">
        <f t="shared" si="45"/>
      </c>
      <c r="K71" s="360"/>
      <c r="L71" s="361"/>
      <c r="M71" s="361"/>
      <c r="N71" s="362"/>
      <c r="O71" s="362"/>
      <c r="P71" s="361"/>
      <c r="Q71" s="361"/>
    </row>
    <row r="72" spans="3:17" ht="15.75" thickBot="1">
      <c r="C72" s="196">
        <f t="shared" si="43"/>
      </c>
      <c r="D72" s="637"/>
      <c r="E72" s="637"/>
      <c r="F72" s="637"/>
      <c r="G72" s="637"/>
      <c r="H72" s="637"/>
      <c r="I72" s="357">
        <f t="shared" si="44"/>
      </c>
      <c r="J72" s="359">
        <f t="shared" si="45"/>
      </c>
      <c r="K72" s="360"/>
      <c r="L72" s="361"/>
      <c r="M72" s="361"/>
      <c r="N72" s="362"/>
      <c r="O72" s="362"/>
      <c r="P72" s="361"/>
      <c r="Q72" s="361"/>
    </row>
    <row r="73" spans="3:17" ht="14.25" thickBot="1" thickTop="1">
      <c r="C73" s="295" t="s">
        <v>75</v>
      </c>
      <c r="D73" s="300"/>
      <c r="E73" s="302"/>
      <c r="F73" s="302"/>
      <c r="G73" s="302"/>
      <c r="H73" s="302"/>
      <c r="I73" s="369">
        <f>ROUNDUP(SUM(I63:I72),0)</f>
        <v>0</v>
      </c>
      <c r="J73" s="370">
        <f>ROUNDUP(SUM(J63:J72),0)</f>
        <v>0</v>
      </c>
      <c r="K73" s="367"/>
      <c r="L73" s="354"/>
      <c r="M73" s="353"/>
      <c r="N73" s="353"/>
      <c r="O73" s="353"/>
      <c r="P73" s="354"/>
      <c r="Q73" s="354"/>
    </row>
    <row r="74" ht="12.75"/>
    <row r="75" spans="3:26" ht="15.75">
      <c r="C75" s="795" t="s">
        <v>358</v>
      </c>
      <c r="D75" s="795"/>
      <c r="E75" s="795"/>
      <c r="F75" s="795"/>
      <c r="G75" s="795"/>
      <c r="H75" s="795"/>
      <c r="I75" s="795"/>
      <c r="J75" s="795"/>
      <c r="S75" s="407" t="s">
        <v>360</v>
      </c>
      <c r="T75" s="407"/>
      <c r="U75" s="407"/>
      <c r="V75" s="407"/>
      <c r="W75" s="407"/>
      <c r="X75" s="407"/>
      <c r="Y75" s="407"/>
      <c r="Z75" s="407"/>
    </row>
    <row r="76" ht="13.5" thickBot="1"/>
    <row r="77" spans="3:28" ht="12.75" customHeight="1">
      <c r="C77" s="812" t="s">
        <v>362</v>
      </c>
      <c r="D77" s="887"/>
      <c r="E77" s="754" t="s">
        <v>31</v>
      </c>
      <c r="F77" s="754" t="s">
        <v>32</v>
      </c>
      <c r="G77" s="754" t="s">
        <v>364</v>
      </c>
      <c r="H77" s="757" t="s">
        <v>359</v>
      </c>
      <c r="I77" s="758"/>
      <c r="J77" s="758"/>
      <c r="K77" s="759"/>
      <c r="S77" s="782" t="s">
        <v>361</v>
      </c>
      <c r="T77" s="783"/>
      <c r="U77" s="754" t="s">
        <v>31</v>
      </c>
      <c r="V77" s="754" t="s">
        <v>32</v>
      </c>
      <c r="W77" s="754" t="s">
        <v>72</v>
      </c>
      <c r="X77" s="754" t="s">
        <v>363</v>
      </c>
      <c r="Y77" s="757" t="s">
        <v>359</v>
      </c>
      <c r="Z77" s="758"/>
      <c r="AA77" s="758"/>
      <c r="AB77" s="759"/>
    </row>
    <row r="78" spans="3:28" ht="12.75">
      <c r="C78" s="888"/>
      <c r="D78" s="889"/>
      <c r="E78" s="755"/>
      <c r="F78" s="755"/>
      <c r="G78" s="755"/>
      <c r="H78" s="760"/>
      <c r="I78" s="761"/>
      <c r="J78" s="761"/>
      <c r="K78" s="762"/>
      <c r="S78" s="784"/>
      <c r="T78" s="785"/>
      <c r="U78" s="755"/>
      <c r="V78" s="755"/>
      <c r="W78" s="755"/>
      <c r="X78" s="755"/>
      <c r="Y78" s="760"/>
      <c r="Z78" s="761"/>
      <c r="AA78" s="761"/>
      <c r="AB78" s="762"/>
    </row>
    <row r="79" spans="3:28" ht="13.5" thickBot="1">
      <c r="C79" s="890"/>
      <c r="D79" s="891"/>
      <c r="E79" s="377"/>
      <c r="F79" s="376"/>
      <c r="G79" s="378"/>
      <c r="H79" s="763"/>
      <c r="I79" s="764"/>
      <c r="J79" s="764"/>
      <c r="K79" s="765"/>
      <c r="S79" s="786"/>
      <c r="T79" s="787"/>
      <c r="U79" s="756"/>
      <c r="V79" s="756"/>
      <c r="W79" s="756"/>
      <c r="X79" s="756"/>
      <c r="Y79" s="763"/>
      <c r="Z79" s="764"/>
      <c r="AA79" s="764"/>
      <c r="AB79" s="765"/>
    </row>
    <row r="80" spans="3:28" ht="15">
      <c r="C80" s="637"/>
      <c r="D80" s="637"/>
      <c r="E80" s="637"/>
      <c r="F80" s="637"/>
      <c r="G80" s="261">
        <f>IF(E80="","",E80*F80)</f>
      </c>
      <c r="H80" s="637"/>
      <c r="I80" s="637"/>
      <c r="J80" s="637"/>
      <c r="K80" s="637"/>
      <c r="S80" s="637"/>
      <c r="T80" s="637"/>
      <c r="U80" s="637"/>
      <c r="V80" s="637"/>
      <c r="W80" s="637"/>
      <c r="X80" s="261">
        <f>IF(U80="","",U80*V80*W80)</f>
      </c>
      <c r="Y80" s="637"/>
      <c r="Z80" s="637"/>
      <c r="AA80" s="637"/>
      <c r="AB80" s="637"/>
    </row>
    <row r="81" spans="3:28" ht="15">
      <c r="C81" s="637"/>
      <c r="D81" s="637"/>
      <c r="E81" s="637"/>
      <c r="F81" s="637"/>
      <c r="G81" s="261">
        <f>IF(E81="","",E81*F81)</f>
      </c>
      <c r="H81" s="637"/>
      <c r="I81" s="637"/>
      <c r="J81" s="637"/>
      <c r="K81" s="637"/>
      <c r="S81" s="637"/>
      <c r="T81" s="637"/>
      <c r="U81" s="637"/>
      <c r="V81" s="637"/>
      <c r="W81" s="637"/>
      <c r="X81" s="261">
        <f>IF(U81="","",U81*V81*W81)</f>
      </c>
      <c r="Y81" s="637"/>
      <c r="Z81" s="637"/>
      <c r="AA81" s="637"/>
      <c r="AB81" s="637"/>
    </row>
    <row r="82" spans="3:28" ht="15">
      <c r="C82" s="637"/>
      <c r="D82" s="637"/>
      <c r="E82" s="637"/>
      <c r="F82" s="637"/>
      <c r="G82" s="261">
        <f>IF(E82="","",E82*F82)</f>
      </c>
      <c r="H82" s="637"/>
      <c r="I82" s="637"/>
      <c r="J82" s="637"/>
      <c r="K82" s="637"/>
      <c r="S82" s="637"/>
      <c r="T82" s="637"/>
      <c r="U82" s="637"/>
      <c r="V82" s="637"/>
      <c r="W82" s="637"/>
      <c r="X82" s="261">
        <f>IF(U82="","",U82*V82*W82)</f>
      </c>
      <c r="Y82" s="637"/>
      <c r="Z82" s="637"/>
      <c r="AA82" s="637"/>
      <c r="AB82" s="637"/>
    </row>
    <row r="83" spans="3:28" ht="15">
      <c r="C83" s="637"/>
      <c r="D83" s="637"/>
      <c r="E83" s="637"/>
      <c r="F83" s="637"/>
      <c r="G83" s="261">
        <f>IF(E83="","",E83*F83)</f>
      </c>
      <c r="H83" s="637"/>
      <c r="I83" s="637"/>
      <c r="J83" s="637"/>
      <c r="K83" s="637"/>
      <c r="S83" s="637"/>
      <c r="T83" s="637"/>
      <c r="U83" s="637"/>
      <c r="V83" s="637"/>
      <c r="W83" s="637"/>
      <c r="X83" s="261">
        <f>IF(U83="","",U83*V83*W83)</f>
      </c>
      <c r="Y83" s="637"/>
      <c r="Z83" s="637"/>
      <c r="AA83" s="637"/>
      <c r="AB83" s="637"/>
    </row>
    <row r="84" spans="3:28" ht="15.75" thickBot="1">
      <c r="C84" s="637"/>
      <c r="D84" s="637"/>
      <c r="E84" s="637"/>
      <c r="F84" s="637"/>
      <c r="G84" s="375">
        <f>IF(E84="","",E84*F84)</f>
      </c>
      <c r="H84" s="637"/>
      <c r="I84" s="637"/>
      <c r="J84" s="637"/>
      <c r="K84" s="637"/>
      <c r="S84" s="637"/>
      <c r="T84" s="637"/>
      <c r="U84" s="637"/>
      <c r="V84" s="637"/>
      <c r="W84" s="637"/>
      <c r="X84" s="375">
        <f>IF(U84="","",U84*V84*W84)</f>
      </c>
      <c r="Y84" s="637"/>
      <c r="Z84" s="637"/>
      <c r="AA84" s="637"/>
      <c r="AB84" s="637"/>
    </row>
    <row r="87" spans="2:32" ht="25.5">
      <c r="B87" s="648" t="s">
        <v>341</v>
      </c>
      <c r="C87" s="648"/>
      <c r="D87" s="648"/>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8"/>
      <c r="AD87" s="648"/>
      <c r="AE87" s="405"/>
      <c r="AF87" s="405"/>
    </row>
    <row r="88" spans="2:29" ht="30.75" customHeight="1">
      <c r="B88" s="201">
        <v>1</v>
      </c>
      <c r="C88" s="640"/>
      <c r="D88" s="640"/>
      <c r="E88" s="640"/>
      <c r="F88" s="640"/>
      <c r="G88" s="640"/>
      <c r="H88" s="640"/>
      <c r="I88" s="640"/>
      <c r="J88" s="640"/>
      <c r="K88" s="640"/>
      <c r="L88" s="640"/>
      <c r="M88" s="640"/>
      <c r="N88" s="640"/>
      <c r="O88" s="640"/>
      <c r="P88" s="201">
        <v>8</v>
      </c>
      <c r="Q88" s="640"/>
      <c r="R88" s="640"/>
      <c r="S88" s="640"/>
      <c r="T88" s="640"/>
      <c r="U88" s="640"/>
      <c r="V88" s="640"/>
      <c r="W88" s="640"/>
      <c r="X88" s="640"/>
      <c r="Y88" s="640"/>
      <c r="Z88" s="640"/>
      <c r="AA88" s="640"/>
      <c r="AB88" s="640"/>
      <c r="AC88" s="640"/>
    </row>
    <row r="89" spans="2:29" ht="30.75" customHeight="1">
      <c r="B89" s="201">
        <v>2</v>
      </c>
      <c r="C89" s="640"/>
      <c r="D89" s="640"/>
      <c r="E89" s="640"/>
      <c r="F89" s="640"/>
      <c r="G89" s="640"/>
      <c r="H89" s="640"/>
      <c r="I89" s="640"/>
      <c r="J89" s="640"/>
      <c r="K89" s="640"/>
      <c r="L89" s="640"/>
      <c r="M89" s="640"/>
      <c r="N89" s="640"/>
      <c r="O89" s="640"/>
      <c r="P89" s="201">
        <v>9</v>
      </c>
      <c r="Q89" s="640"/>
      <c r="R89" s="640"/>
      <c r="S89" s="640"/>
      <c r="T89" s="640"/>
      <c r="U89" s="640"/>
      <c r="V89" s="640"/>
      <c r="W89" s="640"/>
      <c r="X89" s="640"/>
      <c r="Y89" s="640"/>
      <c r="Z89" s="640"/>
      <c r="AA89" s="640"/>
      <c r="AB89" s="640"/>
      <c r="AC89" s="640"/>
    </row>
    <row r="90" spans="2:29" ht="30.75" customHeight="1">
      <c r="B90" s="201">
        <v>3</v>
      </c>
      <c r="C90" s="640"/>
      <c r="D90" s="640"/>
      <c r="E90" s="640"/>
      <c r="F90" s="640"/>
      <c r="G90" s="640"/>
      <c r="H90" s="640"/>
      <c r="I90" s="640"/>
      <c r="J90" s="640"/>
      <c r="K90" s="640"/>
      <c r="L90" s="640"/>
      <c r="M90" s="640"/>
      <c r="N90" s="640"/>
      <c r="O90" s="640"/>
      <c r="P90" s="201">
        <v>10</v>
      </c>
      <c r="Q90" s="640"/>
      <c r="R90" s="640"/>
      <c r="S90" s="640"/>
      <c r="T90" s="640"/>
      <c r="U90" s="640"/>
      <c r="V90" s="640"/>
      <c r="W90" s="640"/>
      <c r="X90" s="640"/>
      <c r="Y90" s="640"/>
      <c r="Z90" s="640"/>
      <c r="AA90" s="640"/>
      <c r="AB90" s="640"/>
      <c r="AC90" s="640"/>
    </row>
    <row r="91" spans="2:29" ht="30.75" customHeight="1">
      <c r="B91" s="201">
        <v>4</v>
      </c>
      <c r="C91" s="640"/>
      <c r="D91" s="640"/>
      <c r="E91" s="640"/>
      <c r="F91" s="640"/>
      <c r="G91" s="640"/>
      <c r="H91" s="640"/>
      <c r="I91" s="640"/>
      <c r="J91" s="640"/>
      <c r="K91" s="640"/>
      <c r="L91" s="640"/>
      <c r="M91" s="640"/>
      <c r="N91" s="640"/>
      <c r="O91" s="640"/>
      <c r="P91" s="201">
        <v>11</v>
      </c>
      <c r="Q91" s="640"/>
      <c r="R91" s="640"/>
      <c r="S91" s="640"/>
      <c r="T91" s="640"/>
      <c r="U91" s="640"/>
      <c r="V91" s="640"/>
      <c r="W91" s="640"/>
      <c r="X91" s="640"/>
      <c r="Y91" s="640"/>
      <c r="Z91" s="640"/>
      <c r="AA91" s="640"/>
      <c r="AB91" s="640"/>
      <c r="AC91" s="640"/>
    </row>
    <row r="92" spans="2:29" ht="30.75" customHeight="1">
      <c r="B92" s="201">
        <v>5</v>
      </c>
      <c r="C92" s="640"/>
      <c r="D92" s="640"/>
      <c r="E92" s="640"/>
      <c r="F92" s="640"/>
      <c r="G92" s="640"/>
      <c r="H92" s="640"/>
      <c r="I92" s="640"/>
      <c r="J92" s="640"/>
      <c r="K92" s="640"/>
      <c r="L92" s="640"/>
      <c r="M92" s="640"/>
      <c r="N92" s="640"/>
      <c r="O92" s="640"/>
      <c r="P92" s="201">
        <v>12</v>
      </c>
      <c r="Q92" s="640"/>
      <c r="R92" s="640"/>
      <c r="S92" s="640"/>
      <c r="T92" s="640"/>
      <c r="U92" s="640"/>
      <c r="V92" s="640"/>
      <c r="W92" s="640"/>
      <c r="X92" s="640"/>
      <c r="Y92" s="640"/>
      <c r="Z92" s="640"/>
      <c r="AA92" s="640"/>
      <c r="AB92" s="640"/>
      <c r="AC92" s="640"/>
    </row>
    <row r="93" spans="2:29" ht="31.5" customHeight="1">
      <c r="B93" s="201">
        <v>6</v>
      </c>
      <c r="C93" s="640"/>
      <c r="D93" s="640"/>
      <c r="E93" s="640"/>
      <c r="F93" s="640"/>
      <c r="G93" s="640"/>
      <c r="H93" s="640"/>
      <c r="I93" s="640"/>
      <c r="J93" s="640"/>
      <c r="K93" s="640"/>
      <c r="L93" s="640"/>
      <c r="M93" s="640"/>
      <c r="N93" s="640"/>
      <c r="O93" s="640"/>
      <c r="P93" s="201">
        <v>13</v>
      </c>
      <c r="Q93" s="640"/>
      <c r="R93" s="640"/>
      <c r="S93" s="640"/>
      <c r="T93" s="640"/>
      <c r="U93" s="640"/>
      <c r="V93" s="640"/>
      <c r="W93" s="640"/>
      <c r="X93" s="640"/>
      <c r="Y93" s="640"/>
      <c r="Z93" s="640"/>
      <c r="AA93" s="640"/>
      <c r="AB93" s="640"/>
      <c r="AC93" s="640"/>
    </row>
    <row r="94" spans="2:29" ht="31.5" customHeight="1">
      <c r="B94" s="201">
        <v>7</v>
      </c>
      <c r="C94" s="640"/>
      <c r="D94" s="640"/>
      <c r="E94" s="640"/>
      <c r="F94" s="640"/>
      <c r="G94" s="640"/>
      <c r="H94" s="640"/>
      <c r="I94" s="640"/>
      <c r="J94" s="640"/>
      <c r="K94" s="640"/>
      <c r="L94" s="640"/>
      <c r="M94" s="640"/>
      <c r="N94" s="640"/>
      <c r="O94" s="640"/>
      <c r="P94" s="201">
        <v>14</v>
      </c>
      <c r="Q94" s="640"/>
      <c r="R94" s="640"/>
      <c r="S94" s="640"/>
      <c r="T94" s="640"/>
      <c r="U94" s="640"/>
      <c r="V94" s="640"/>
      <c r="W94" s="640"/>
      <c r="X94" s="640"/>
      <c r="Y94" s="640"/>
      <c r="Z94" s="640"/>
      <c r="AA94" s="640"/>
      <c r="AB94" s="640"/>
      <c r="AC94" s="640"/>
    </row>
  </sheetData>
  <sheetProtection/>
  <mergeCells count="115">
    <mergeCell ref="AH5:AR5"/>
    <mergeCell ref="V26:V27"/>
    <mergeCell ref="X26:X27"/>
    <mergeCell ref="Y25:Y26"/>
    <mergeCell ref="W25:X25"/>
    <mergeCell ref="Z25:Z26"/>
    <mergeCell ref="AA25:AB25"/>
    <mergeCell ref="Y8:Y9"/>
    <mergeCell ref="W8:W9"/>
    <mergeCell ref="AH22:AO23"/>
    <mergeCell ref="B3:AD3"/>
    <mergeCell ref="M42:Q42"/>
    <mergeCell ref="H42:L42"/>
    <mergeCell ref="C77:D79"/>
    <mergeCell ref="F77:F78"/>
    <mergeCell ref="E77:E78"/>
    <mergeCell ref="G77:G78"/>
    <mergeCell ref="H77:K79"/>
    <mergeCell ref="F7:I7"/>
    <mergeCell ref="D42:G42"/>
    <mergeCell ref="H25:K25"/>
    <mergeCell ref="G25:G27"/>
    <mergeCell ref="K26:K27"/>
    <mergeCell ref="L65:O65"/>
    <mergeCell ref="I60:I61"/>
    <mergeCell ref="J60:J61"/>
    <mergeCell ref="L62:O62"/>
    <mergeCell ref="L63:O63"/>
    <mergeCell ref="L64:O64"/>
    <mergeCell ref="L15:O15"/>
    <mergeCell ref="L18:O18"/>
    <mergeCell ref="L17:O17"/>
    <mergeCell ref="O26:O27"/>
    <mergeCell ref="P60:P61"/>
    <mergeCell ref="D60:D61"/>
    <mergeCell ref="E60:E62"/>
    <mergeCell ref="F60:F62"/>
    <mergeCell ref="H60:H61"/>
    <mergeCell ref="E25:E26"/>
    <mergeCell ref="X48:Y48"/>
    <mergeCell ref="T38:U38"/>
    <mergeCell ref="T46:W46"/>
    <mergeCell ref="T47:W47"/>
    <mergeCell ref="L38:M38"/>
    <mergeCell ref="L13:O13"/>
    <mergeCell ref="L14:O14"/>
    <mergeCell ref="L20:O20"/>
    <mergeCell ref="L19:O19"/>
    <mergeCell ref="L16:O16"/>
    <mergeCell ref="S8:S9"/>
    <mergeCell ref="L7:O9"/>
    <mergeCell ref="L10:O10"/>
    <mergeCell ref="P7:Q7"/>
    <mergeCell ref="L11:O11"/>
    <mergeCell ref="L12:O12"/>
    <mergeCell ref="C19:C21"/>
    <mergeCell ref="C38:G38"/>
    <mergeCell ref="T42:W43"/>
    <mergeCell ref="C25:C27"/>
    <mergeCell ref="D25:D26"/>
    <mergeCell ref="P25:S25"/>
    <mergeCell ref="Q26:Q27"/>
    <mergeCell ref="F25:F27"/>
    <mergeCell ref="L25:O25"/>
    <mergeCell ref="H38:I38"/>
    <mergeCell ref="C60:C62"/>
    <mergeCell ref="Z7:AA7"/>
    <mergeCell ref="U8:U9"/>
    <mergeCell ref="AA8:AA9"/>
    <mergeCell ref="R7:U7"/>
    <mergeCell ref="Q8:Q9"/>
    <mergeCell ref="V7:W7"/>
    <mergeCell ref="T25:V25"/>
    <mergeCell ref="S26:S27"/>
    <mergeCell ref="C42:C44"/>
    <mergeCell ref="B2:AD2"/>
    <mergeCell ref="T44:W44"/>
    <mergeCell ref="D7:E7"/>
    <mergeCell ref="AI25:AI27"/>
    <mergeCell ref="AJ25:AQ25"/>
    <mergeCell ref="C75:J75"/>
    <mergeCell ref="AN26:AQ26"/>
    <mergeCell ref="D19:E21"/>
    <mergeCell ref="X7:Y7"/>
    <mergeCell ref="R20:T20"/>
    <mergeCell ref="C91:O91"/>
    <mergeCell ref="B87:AD87"/>
    <mergeCell ref="G60:G62"/>
    <mergeCell ref="L60:O61"/>
    <mergeCell ref="C92:O92"/>
    <mergeCell ref="C93:O93"/>
    <mergeCell ref="C88:O88"/>
    <mergeCell ref="S77:T79"/>
    <mergeCell ref="U77:U79"/>
    <mergeCell ref="V77:V79"/>
    <mergeCell ref="C94:O94"/>
    <mergeCell ref="Q88:AC88"/>
    <mergeCell ref="Q89:AC89"/>
    <mergeCell ref="Q90:AC90"/>
    <mergeCell ref="Q91:AC91"/>
    <mergeCell ref="Q92:AC92"/>
    <mergeCell ref="Q93:AC93"/>
    <mergeCell ref="Q94:AC94"/>
    <mergeCell ref="C89:O89"/>
    <mergeCell ref="C90:O90"/>
    <mergeCell ref="AC25:AD25"/>
    <mergeCell ref="AE25:AF25"/>
    <mergeCell ref="AJ26:AM26"/>
    <mergeCell ref="W77:W79"/>
    <mergeCell ref="X77:X79"/>
    <mergeCell ref="Y77:AB79"/>
    <mergeCell ref="Y42:Y43"/>
    <mergeCell ref="T45:W45"/>
    <mergeCell ref="Z42:Z43"/>
    <mergeCell ref="T48:W48"/>
  </mergeCells>
  <printOptions horizontalCentered="1"/>
  <pageMargins left="0.25" right="0.25" top="0.5" bottom="0.5" header="0.3" footer="0.3"/>
  <pageSetup blackAndWhite="1" fitToHeight="2" fitToWidth="2" horizontalDpi="600" verticalDpi="600" orientation="landscape" pageOrder="overThenDown" scale="57" r:id="rId4"/>
  <headerFooter alignWithMargins="0">
    <oddFooter>&amp;L&amp;D&amp;CPage &amp;P of &amp;N&amp;RConcept Level Est Form 
Form 7</oddFooter>
  </headerFooter>
  <rowBreaks count="1" manualBreakCount="1">
    <brk id="57" min="1" max="31" man="1"/>
  </rowBreaks>
  <colBreaks count="1" manualBreakCount="1">
    <brk id="17" min="1" max="9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Patti Barton</dc:creator>
  <cp:keywords/>
  <dc:description/>
  <cp:lastModifiedBy>Ben R Wuthrich</cp:lastModifiedBy>
  <cp:lastPrinted>2020-10-22T21:05:21Z</cp:lastPrinted>
  <dcterms:created xsi:type="dcterms:W3CDTF">2004-10-20T17:50:24Z</dcterms:created>
  <dcterms:modified xsi:type="dcterms:W3CDTF">2020-10-22T21:21:16Z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