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server1\Volumef\MEETINGS_COMMITTEES\Budget Committee\2020\03_Aug13\"/>
    </mc:Choice>
  </mc:AlternateContent>
  <xr:revisionPtr revIDLastSave="0" documentId="13_ncr:1_{6A6DE242-1B8F-4EE6-9E70-B53E6DF70B6A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Five Year Projection" sheetId="1" r:id="rId1"/>
  </sheets>
  <definedNames>
    <definedName name="_xlnm.Print_Area" localSheetId="0">'Five Year Projection'!$A$1:$J$85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tTS43S++G6ordFZCLEaKnLhSCXQ=="/>
    </ext>
  </extLst>
</workbook>
</file>

<file path=xl/calcChain.xml><?xml version="1.0" encoding="utf-8"?>
<calcChain xmlns="http://schemas.openxmlformats.org/spreadsheetml/2006/main">
  <c r="E22" i="1" l="1"/>
  <c r="E23" i="1"/>
  <c r="D56" i="1" l="1"/>
  <c r="D13" i="1" l="1"/>
  <c r="I80" i="1"/>
  <c r="H80" i="1"/>
  <c r="G80" i="1"/>
  <c r="F80" i="1"/>
  <c r="E80" i="1"/>
  <c r="D80" i="1"/>
  <c r="C80" i="1"/>
  <c r="A58" i="1" l="1"/>
  <c r="C79" i="1" l="1"/>
  <c r="D66" i="1" l="1"/>
  <c r="A87" i="1" l="1"/>
  <c r="D79" i="1"/>
  <c r="E79" i="1" s="1"/>
  <c r="F79" i="1" s="1"/>
  <c r="G79" i="1" s="1"/>
  <c r="H79" i="1" s="1"/>
  <c r="I79" i="1" s="1"/>
  <c r="D73" i="1"/>
  <c r="E66" i="1"/>
  <c r="F66" i="1" s="1"/>
  <c r="G66" i="1" s="1"/>
  <c r="H66" i="1" s="1"/>
  <c r="I66" i="1" s="1"/>
  <c r="E46" i="1"/>
  <c r="F46" i="1" s="1"/>
  <c r="G46" i="1" s="1"/>
  <c r="H46" i="1" s="1"/>
  <c r="I46" i="1" s="1"/>
  <c r="C46" i="1"/>
  <c r="E45" i="1"/>
  <c r="E44" i="1"/>
  <c r="F44" i="1" s="1"/>
  <c r="G44" i="1" s="1"/>
  <c r="H44" i="1" s="1"/>
  <c r="I44" i="1" s="1"/>
  <c r="C44" i="1"/>
  <c r="E43" i="1"/>
  <c r="F43" i="1" s="1"/>
  <c r="G43" i="1" s="1"/>
  <c r="H43" i="1" s="1"/>
  <c r="I43" i="1" s="1"/>
  <c r="C43" i="1"/>
  <c r="E42" i="1"/>
  <c r="F42" i="1" s="1"/>
  <c r="G42" i="1" s="1"/>
  <c r="H42" i="1" s="1"/>
  <c r="I42" i="1" s="1"/>
  <c r="C42" i="1"/>
  <c r="F37" i="1"/>
  <c r="G37" i="1" s="1"/>
  <c r="H37" i="1" s="1"/>
  <c r="I37" i="1" s="1"/>
  <c r="F36" i="1"/>
  <c r="G36" i="1" s="1"/>
  <c r="H36" i="1" s="1"/>
  <c r="I36" i="1" s="1"/>
  <c r="G34" i="1"/>
  <c r="H34" i="1" s="1"/>
  <c r="I34" i="1" s="1"/>
  <c r="E34" i="1"/>
  <c r="E33" i="1"/>
  <c r="F33" i="1" s="1"/>
  <c r="G33" i="1" s="1"/>
  <c r="H33" i="1" s="1"/>
  <c r="I33" i="1" s="1"/>
  <c r="E32" i="1"/>
  <c r="F32" i="1" s="1"/>
  <c r="G32" i="1" s="1"/>
  <c r="H32" i="1" s="1"/>
  <c r="I32" i="1" s="1"/>
  <c r="G31" i="1"/>
  <c r="H31" i="1" s="1"/>
  <c r="I31" i="1" s="1"/>
  <c r="D30" i="1"/>
  <c r="E30" i="1" s="1"/>
  <c r="F30" i="1" s="1"/>
  <c r="G30" i="1" s="1"/>
  <c r="H30" i="1" s="1"/>
  <c r="I30" i="1" s="1"/>
  <c r="G29" i="1"/>
  <c r="H29" i="1" s="1"/>
  <c r="I29" i="1" s="1"/>
  <c r="E28" i="1"/>
  <c r="F28" i="1" s="1"/>
  <c r="G28" i="1" s="1"/>
  <c r="H28" i="1" s="1"/>
  <c r="I28" i="1" s="1"/>
  <c r="E27" i="1"/>
  <c r="F27" i="1" s="1"/>
  <c r="G27" i="1" s="1"/>
  <c r="H27" i="1" s="1"/>
  <c r="I27" i="1" s="1"/>
  <c r="C27" i="1"/>
  <c r="D26" i="1"/>
  <c r="C26" i="1"/>
  <c r="F25" i="1"/>
  <c r="G25" i="1" s="1"/>
  <c r="H25" i="1" s="1"/>
  <c r="I25" i="1" s="1"/>
  <c r="M24" i="1"/>
  <c r="M25" i="1" s="1"/>
  <c r="E24" i="1"/>
  <c r="F22" i="1"/>
  <c r="G22" i="1" s="1"/>
  <c r="C22" i="1"/>
  <c r="O14" i="1"/>
  <c r="O13" i="1"/>
  <c r="E13" i="1"/>
  <c r="F13" i="1" s="1"/>
  <c r="G13" i="1" s="1"/>
  <c r="H13" i="1" s="1"/>
  <c r="I13" i="1" s="1"/>
  <c r="C13" i="1"/>
  <c r="D12" i="1"/>
  <c r="D14" i="1" s="1"/>
  <c r="C12" i="1"/>
  <c r="E10" i="1"/>
  <c r="F10" i="1" s="1"/>
  <c r="G10" i="1" s="1"/>
  <c r="H10" i="1" s="1"/>
  <c r="I10" i="1" s="1"/>
  <c r="C10" i="1"/>
  <c r="E9" i="1"/>
  <c r="F9" i="1" s="1"/>
  <c r="G9" i="1" s="1"/>
  <c r="H9" i="1" s="1"/>
  <c r="I9" i="1" s="1"/>
  <c r="E8" i="1"/>
  <c r="F8" i="1" s="1"/>
  <c r="D4" i="1"/>
  <c r="E4" i="1" s="1"/>
  <c r="F4" i="1" s="1"/>
  <c r="G4" i="1" s="1"/>
  <c r="H4" i="1" s="1"/>
  <c r="I4" i="1" s="1"/>
  <c r="D20" i="1" l="1"/>
  <c r="C20" i="1"/>
  <c r="C49" i="1" s="1"/>
  <c r="C14" i="1"/>
  <c r="C16" i="1" s="1"/>
  <c r="C61" i="1" s="1"/>
  <c r="D52" i="1"/>
  <c r="F45" i="1"/>
  <c r="C52" i="1"/>
  <c r="D16" i="1"/>
  <c r="D21" i="1" s="1"/>
  <c r="E14" i="1"/>
  <c r="F14" i="1" s="1"/>
  <c r="G14" i="1" s="1"/>
  <c r="H14" i="1" s="1"/>
  <c r="I14" i="1" s="1"/>
  <c r="G8" i="1"/>
  <c r="H22" i="1"/>
  <c r="E12" i="1"/>
  <c r="F24" i="1"/>
  <c r="E26" i="1"/>
  <c r="E52" i="1" s="1"/>
  <c r="E56" i="1"/>
  <c r="D57" i="1" l="1"/>
  <c r="D58" i="1" s="1"/>
  <c r="D61" i="1"/>
  <c r="C57" i="1"/>
  <c r="C59" i="1" s="1"/>
  <c r="C62" i="1" s="1"/>
  <c r="E20" i="1"/>
  <c r="C82" i="1"/>
  <c r="C53" i="1"/>
  <c r="G45" i="1"/>
  <c r="I22" i="1"/>
  <c r="D53" i="1"/>
  <c r="D82" i="1"/>
  <c r="F56" i="1"/>
  <c r="H8" i="1"/>
  <c r="F26" i="1"/>
  <c r="F52" i="1" s="1"/>
  <c r="G24" i="1"/>
  <c r="E16" i="1"/>
  <c r="F12" i="1"/>
  <c r="E61" i="1" l="1"/>
  <c r="E21" i="1"/>
  <c r="E49" i="1" s="1"/>
  <c r="D49" i="1"/>
  <c r="D83" i="1" s="1"/>
  <c r="F20" i="1"/>
  <c r="C58" i="1"/>
  <c r="C64" i="1" s="1"/>
  <c r="D64" i="1" s="1"/>
  <c r="H45" i="1"/>
  <c r="G26" i="1"/>
  <c r="G52" i="1" s="1"/>
  <c r="H24" i="1"/>
  <c r="G12" i="1"/>
  <c r="F16" i="1"/>
  <c r="I8" i="1"/>
  <c r="E82" i="1"/>
  <c r="E53" i="1"/>
  <c r="G56" i="1"/>
  <c r="F61" i="1" l="1"/>
  <c r="F21" i="1"/>
  <c r="F49" i="1" s="1"/>
  <c r="D50" i="1"/>
  <c r="E57" i="1"/>
  <c r="E58" i="1" s="1"/>
  <c r="E64" i="1" s="1"/>
  <c r="G20" i="1"/>
  <c r="D55" i="1"/>
  <c r="D59" i="1" s="1"/>
  <c r="C84" i="1"/>
  <c r="C83" i="1"/>
  <c r="I45" i="1"/>
  <c r="H56" i="1"/>
  <c r="F82" i="1"/>
  <c r="F53" i="1"/>
  <c r="H12" i="1"/>
  <c r="G16" i="1"/>
  <c r="H26" i="1"/>
  <c r="H52" i="1" s="1"/>
  <c r="I24" i="1"/>
  <c r="G61" i="1" l="1"/>
  <c r="G21" i="1"/>
  <c r="G49" i="1" s="1"/>
  <c r="D84" i="1"/>
  <c r="E55" i="1"/>
  <c r="E59" i="1" s="1"/>
  <c r="D62" i="1"/>
  <c r="E83" i="1"/>
  <c r="F57" i="1"/>
  <c r="F58" i="1" s="1"/>
  <c r="F64" i="1" s="1"/>
  <c r="H20" i="1"/>
  <c r="E50" i="1"/>
  <c r="G53" i="1"/>
  <c r="G82" i="1"/>
  <c r="I12" i="1"/>
  <c r="I16" i="1" s="1"/>
  <c r="H16" i="1"/>
  <c r="I56" i="1"/>
  <c r="I26" i="1"/>
  <c r="I52" i="1" s="1"/>
  <c r="I61" i="1" l="1"/>
  <c r="H61" i="1"/>
  <c r="H21" i="1"/>
  <c r="H57" i="1" s="1"/>
  <c r="F55" i="1"/>
  <c r="F59" i="1" s="1"/>
  <c r="F84" i="1" s="1"/>
  <c r="E62" i="1"/>
  <c r="G57" i="1"/>
  <c r="G58" i="1" s="1"/>
  <c r="G64" i="1" s="1"/>
  <c r="F83" i="1"/>
  <c r="I20" i="1"/>
  <c r="I21" i="1" s="1"/>
  <c r="E84" i="1"/>
  <c r="I53" i="1"/>
  <c r="I82" i="1"/>
  <c r="F50" i="1"/>
  <c r="H82" i="1"/>
  <c r="H53" i="1"/>
  <c r="I57" i="1" l="1"/>
  <c r="I58" i="1" s="1"/>
  <c r="G55" i="1"/>
  <c r="G59" i="1" s="1"/>
  <c r="F62" i="1"/>
  <c r="H49" i="1"/>
  <c r="G83" i="1"/>
  <c r="H58" i="1"/>
  <c r="H64" i="1" s="1"/>
  <c r="G50" i="1"/>
  <c r="I49" i="1" l="1"/>
  <c r="I50" i="1" s="1"/>
  <c r="H55" i="1"/>
  <c r="H59" i="1" s="1"/>
  <c r="H62" i="1" s="1"/>
  <c r="G62" i="1"/>
  <c r="G84" i="1"/>
  <c r="I64" i="1"/>
  <c r="H83" i="1"/>
  <c r="H50" i="1"/>
  <c r="I83" i="1" l="1"/>
  <c r="H84" i="1"/>
  <c r="I55" i="1"/>
  <c r="I59" i="1" s="1"/>
  <c r="I84" i="1" l="1"/>
  <c r="I62" i="1"/>
</calcChain>
</file>

<file path=xl/sharedStrings.xml><?xml version="1.0" encoding="utf-8"?>
<sst xmlns="http://schemas.openxmlformats.org/spreadsheetml/2006/main" count="102" uniqueCount="95">
  <si>
    <t xml:space="preserve">WFRC 5 years budget projection </t>
  </si>
  <si>
    <t>Loveit's Notes - notes in columns K thru Q may be disregarded</t>
  </si>
  <si>
    <t>Growth</t>
  </si>
  <si>
    <t>Potential strategies</t>
  </si>
  <si>
    <t>Notes</t>
  </si>
  <si>
    <t>Factor</t>
  </si>
  <si>
    <t>Actual</t>
  </si>
  <si>
    <t>Budgeted</t>
  </si>
  <si>
    <t>Projected</t>
  </si>
  <si>
    <t>Expenses</t>
  </si>
  <si>
    <t>Salary&amp;Fringe</t>
  </si>
  <si>
    <t>Office space expenses</t>
  </si>
  <si>
    <t>Consultants - CPG funded</t>
  </si>
  <si>
    <t>Consultant - Travel survey</t>
  </si>
  <si>
    <t>Consultants - Other</t>
  </si>
  <si>
    <t>Consultants - TLC</t>
  </si>
  <si>
    <t>TLC consultants in 2020 have significant carry forward</t>
  </si>
  <si>
    <t>Other expenses</t>
  </si>
  <si>
    <t>Equals 2020 carryforward projects</t>
  </si>
  <si>
    <t>Total Expenses</t>
  </si>
  <si>
    <t>Why did the deficit go up so much over 2018 version?</t>
  </si>
  <si>
    <t>Funding Sources</t>
  </si>
  <si>
    <t>Adding people to the staff increases deficit</t>
  </si>
  <si>
    <t>Rent</t>
  </si>
  <si>
    <t>Calculated</t>
  </si>
  <si>
    <t>Greater amount spent on CPG consultants</t>
  </si>
  <si>
    <t>**Add 30k to STP for rent/improvements shown in Council packet Mary2019 Footnote #2</t>
  </si>
  <si>
    <t>State GOMB</t>
  </si>
  <si>
    <t>What STP for CPG would have been in 2022 with 3% growth rate</t>
  </si>
  <si>
    <t>CIB</t>
  </si>
  <si>
    <t>Tooele Valley RPO</t>
  </si>
  <si>
    <t>Morgan RPO</t>
  </si>
  <si>
    <t>Model Development - MAG</t>
  </si>
  <si>
    <t>Model Development - UDOT</t>
  </si>
  <si>
    <t>HUD/CDBG</t>
  </si>
  <si>
    <t xml:space="preserve">EDA </t>
  </si>
  <si>
    <t>Joint Planning Studies</t>
  </si>
  <si>
    <t>Oquirrh Connection</t>
  </si>
  <si>
    <t>Davis Rating &amp; Ranking</t>
  </si>
  <si>
    <t>Travel Survey - STP</t>
  </si>
  <si>
    <t>Travel Survey - Other</t>
  </si>
  <si>
    <t>TLC - FHWA STP</t>
  </si>
  <si>
    <t>TLC - UDOT</t>
  </si>
  <si>
    <t>TLC - UTA</t>
  </si>
  <si>
    <t>TLC - Salt Lake County</t>
  </si>
  <si>
    <t>TLC - Grantee Match</t>
  </si>
  <si>
    <t>Total Revenue</t>
  </si>
  <si>
    <t>Total non-PL Funding</t>
  </si>
  <si>
    <t>PL needed for projected yr</t>
  </si>
  <si>
    <t>First of year unobligated FHWA-PL funds</t>
  </si>
  <si>
    <t>Building Fund Balance</t>
  </si>
  <si>
    <t>Consultants</t>
  </si>
  <si>
    <t>Legislative Consultant</t>
  </si>
  <si>
    <t>Model Development</t>
  </si>
  <si>
    <t>Planning Studies</t>
  </si>
  <si>
    <t>Communications</t>
  </si>
  <si>
    <t xml:space="preserve">  Carry forwards are not considered here.</t>
  </si>
  <si>
    <t xml:space="preserve">  Level of service remains constant</t>
  </si>
  <si>
    <t>UTA Transit Sales Tax</t>
  </si>
  <si>
    <t>Increase UTA and UDOT contributions.</t>
  </si>
  <si>
    <t>Local Government Contributions</t>
  </si>
  <si>
    <t>FTA Mobility Management</t>
  </si>
  <si>
    <t>CDBG-CV CARES</t>
  </si>
  <si>
    <t>Increase EDA funding.</t>
  </si>
  <si>
    <t xml:space="preserve">FHWA - PL needed for projected year </t>
  </si>
  <si>
    <t xml:space="preserve">New FHWA - PL funds apportioned </t>
  </si>
  <si>
    <t>End of year unobligated FHWA - PL funds</t>
  </si>
  <si>
    <t xml:space="preserve">  Number of employees remain at 29</t>
  </si>
  <si>
    <t xml:space="preserve">Assumptions: </t>
  </si>
  <si>
    <t>Revenue not including use of unobligated PL balance</t>
  </si>
  <si>
    <t>20% of FTA</t>
  </si>
  <si>
    <t>End of year unobligated PL balance</t>
  </si>
  <si>
    <t>Negotiate lease extension with with reduced annual growth factor.</t>
  </si>
  <si>
    <t>Do not fill all vacancies. Benefit adjustments. Cover more staff costs from TLC funds.</t>
  </si>
  <si>
    <t>Change the rules and use CMAQ and/or TAP funds starting in FY21.</t>
  </si>
  <si>
    <t>Reduce consultant expenditure growth -- use in house staff.</t>
  </si>
  <si>
    <t>Reduce expenditure growth.</t>
  </si>
  <si>
    <t>Increase state funding.</t>
  </si>
  <si>
    <t>Inflate RPOs at CPI growth.</t>
  </si>
  <si>
    <t>Increase Model development contributions.</t>
  </si>
  <si>
    <t>Inflate CDBG admin at CPI growth rate.</t>
  </si>
  <si>
    <t>Increase Joint Project contributions.</t>
  </si>
  <si>
    <t>FHWA - PL (CPG)</t>
  </si>
  <si>
    <t>FHWA - PL from unobligated balance (CPG)</t>
  </si>
  <si>
    <t>FTA - 5303 (CPG)</t>
  </si>
  <si>
    <t>50% of budget</t>
  </si>
  <si>
    <t>FHWA - STP (CPG)</t>
  </si>
  <si>
    <t>This funding is an administrative reconciliation as a result of previous years' program savings that were placed by UDOT into our general STP funds instead of our unobligated PL funds.  As part of our long-term plan for financial stability any program savings are used to offset future years' declining unobligated PL balances. This reconciliation ends after FY2026.</t>
  </si>
  <si>
    <t>Cumulative FHWA - PL from unobligated balance</t>
  </si>
  <si>
    <t>The goal is to keep this number approximately 6 months of the budget (see row 61)</t>
  </si>
  <si>
    <t>Amount of funding needed to meet goal (J59)</t>
  </si>
  <si>
    <t>Federal funding is currently not authorized beyond Sept. 20, 2020</t>
  </si>
  <si>
    <t>FHWA - STP (CPG) prior years' reconciliation (estimated amount, final amount to be determined October 2020)</t>
  </si>
  <si>
    <t xml:space="preserve">Work at national level to 1) increase STP funding, 2) adjust suballocation rate, and 3) allow CMAQ and TAP to be used for program administration. Utilize additional STP for WFRC. </t>
  </si>
  <si>
    <t>Updated 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</si>
</sst>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13">
    <font>
      <sz val="11"/>
      <color theme="1"/>
      <name val="Arial"/>
    </font>
    <font>
      <b/>
      <sz val="14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u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Roboto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4" fontId="1" fillId="0" borderId="0" xfId="0" applyNumberFormat="1" applyFont="1" applyAlignment="1"/>
    <xf numFmtId="4" fontId="1" fillId="0" borderId="0" xfId="0" applyNumberFormat="1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4" fontId="4" fillId="0" borderId="0" xfId="0" applyNumberFormat="1" applyFont="1"/>
    <xf numFmtId="0" fontId="2" fillId="0" borderId="0" xfId="0" applyFont="1"/>
    <xf numFmtId="1" fontId="2" fillId="0" borderId="0" xfId="0" applyNumberFormat="1" applyFont="1" applyAlignment="1">
      <alignment horizontal="left"/>
    </xf>
    <xf numFmtId="4" fontId="5" fillId="0" borderId="0" xfId="0" applyNumberFormat="1" applyFont="1"/>
    <xf numFmtId="4" fontId="6" fillId="0" borderId="0" xfId="0" applyNumberFormat="1" applyFont="1"/>
    <xf numFmtId="1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left"/>
    </xf>
    <xf numFmtId="164" fontId="6" fillId="0" borderId="0" xfId="0" applyNumberFormat="1" applyFont="1"/>
    <xf numFmtId="165" fontId="6" fillId="0" borderId="0" xfId="0" applyNumberFormat="1" applyFont="1"/>
    <xf numFmtId="165" fontId="6" fillId="0" borderId="0" xfId="0" applyNumberFormat="1" applyFont="1" applyAlignment="1">
      <alignment horizontal="left"/>
    </xf>
    <xf numFmtId="165" fontId="7" fillId="2" borderId="1" xfId="0" applyNumberFormat="1" applyFont="1" applyFill="1" applyBorder="1"/>
    <xf numFmtId="43" fontId="6" fillId="0" borderId="0" xfId="0" applyNumberFormat="1" applyFont="1"/>
    <xf numFmtId="9" fontId="6" fillId="0" borderId="0" xfId="0" applyNumberFormat="1" applyFont="1"/>
    <xf numFmtId="0" fontId="6" fillId="0" borderId="0" xfId="0" applyFont="1"/>
    <xf numFmtId="165" fontId="3" fillId="0" borderId="0" xfId="0" applyNumberFormat="1" applyFont="1"/>
    <xf numFmtId="165" fontId="6" fillId="0" borderId="2" xfId="0" applyNumberFormat="1" applyFont="1" applyBorder="1"/>
    <xf numFmtId="0" fontId="8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/>
    <xf numFmtId="0" fontId="6" fillId="0" borderId="0" xfId="0" applyFont="1" applyAlignment="1">
      <alignment horizontal="left" vertical="center"/>
    </xf>
    <xf numFmtId="165" fontId="6" fillId="0" borderId="1" xfId="0" applyNumberFormat="1" applyFont="1" applyFill="1" applyBorder="1"/>
    <xf numFmtId="165" fontId="9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9" fillId="0" borderId="0" xfId="0" applyFont="1"/>
    <xf numFmtId="4" fontId="9" fillId="0" borderId="0" xfId="0" applyNumberFormat="1" applyFont="1" applyAlignment="1">
      <alignment horizontal="right"/>
    </xf>
    <xf numFmtId="0" fontId="6" fillId="0" borderId="0" xfId="0" applyFont="1" applyFill="1"/>
    <xf numFmtId="165" fontId="6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/>
    <xf numFmtId="0" fontId="0" fillId="0" borderId="0" xfId="0" applyFont="1" applyFill="1" applyAlignment="1"/>
    <xf numFmtId="1" fontId="11" fillId="0" borderId="0" xfId="0" applyNumberFormat="1" applyFont="1" applyAlignment="1">
      <alignment horizontal="left" wrapText="1"/>
    </xf>
    <xf numFmtId="165" fontId="11" fillId="0" borderId="0" xfId="0" applyNumberFormat="1" applyFont="1" applyAlignment="1">
      <alignment wrapText="1"/>
    </xf>
    <xf numFmtId="165" fontId="11" fillId="0" borderId="0" xfId="0" applyNumberFormat="1" applyFont="1"/>
    <xf numFmtId="9" fontId="11" fillId="0" borderId="0" xfId="0" applyNumberFormat="1" applyFont="1"/>
    <xf numFmtId="0" fontId="6" fillId="0" borderId="0" xfId="0" applyFont="1" applyAlignment="1">
      <alignment wrapText="1"/>
    </xf>
    <xf numFmtId="165" fontId="11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wrapText="1"/>
    </xf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'Five Year Projection'!$A$82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1"/>
          <c:cat>
            <c:numRef>
              <c:f>'Five Year Projection'!$D$79:$I$79</c:f>
              <c:numCache>
                <c:formatCode>0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'Five Year Projection'!$D$82:$I$82</c:f>
              <c:numCache>
                <c:formatCode>_(* #,##0_);_(* \(#,##0\);_(* "-"??_);_(@_)</c:formatCode>
                <c:ptCount val="6"/>
                <c:pt idx="0">
                  <c:v>8361215.5199999977</c:v>
                </c:pt>
                <c:pt idx="1">
                  <c:v>8647118.0773499981</c:v>
                </c:pt>
                <c:pt idx="2">
                  <c:v>7944525.6855492471</c:v>
                </c:pt>
                <c:pt idx="3">
                  <c:v>8253915.2549590189</c:v>
                </c:pt>
                <c:pt idx="4">
                  <c:v>8575783.9323990308</c:v>
                </c:pt>
                <c:pt idx="5">
                  <c:v>8910649.9750528503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312F-4B28-B7C3-BCC1BAA7B56F}"/>
            </c:ext>
          </c:extLst>
        </c:ser>
        <c:ser>
          <c:idx val="1"/>
          <c:order val="1"/>
          <c:tx>
            <c:strRef>
              <c:f>'Five Year Projection'!$A$83</c:f>
              <c:strCache>
                <c:ptCount val="1"/>
                <c:pt idx="0">
                  <c:v>Revenue not including use of unobligated PL balance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1"/>
          <c:cat>
            <c:numRef>
              <c:f>'Five Year Projection'!$D$79:$I$79</c:f>
              <c:numCache>
                <c:formatCode>0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'Five Year Projection'!$D$83:$I$83</c:f>
              <c:numCache>
                <c:formatCode>_(* #,##0_);_(* \(#,##0\);_(* "-"??_);_(@_)</c:formatCode>
                <c:ptCount val="6"/>
                <c:pt idx="0">
                  <c:v>9021277.1100000013</c:v>
                </c:pt>
                <c:pt idx="1">
                  <c:v>8809863.9133000001</c:v>
                </c:pt>
                <c:pt idx="2">
                  <c:v>8005300.2822989989</c:v>
                </c:pt>
                <c:pt idx="3">
                  <c:v>8206351.7513999706</c:v>
                </c:pt>
                <c:pt idx="4">
                  <c:v>8413181.8137866091</c:v>
                </c:pt>
                <c:pt idx="5">
                  <c:v>8625958.7682417408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312F-4B28-B7C3-BCC1BAA7B56F}"/>
            </c:ext>
          </c:extLst>
        </c:ser>
        <c:ser>
          <c:idx val="2"/>
          <c:order val="2"/>
          <c:tx>
            <c:strRef>
              <c:f>'Five Year Projection'!$A$84</c:f>
              <c:strCache>
                <c:ptCount val="1"/>
                <c:pt idx="0">
                  <c:v>End of year unobligated PL balance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1"/>
          <c:cat>
            <c:numRef>
              <c:f>'Five Year Projection'!$D$79:$I$79</c:f>
              <c:numCache>
                <c:formatCode>0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'Five Year Projection'!$D$84:$I$84</c:f>
              <c:numCache>
                <c:formatCode>_(* #,##0_);_(* \(#,##0\);_(* "-"??_);_(@_)</c:formatCode>
                <c:ptCount val="6"/>
                <c:pt idx="0">
                  <c:v>4289261.6500000022</c:v>
                </c:pt>
                <c:pt idx="1">
                  <c:v>4452007.4859500052</c:v>
                </c:pt>
                <c:pt idx="2">
                  <c:v>4512782.0826997589</c:v>
                </c:pt>
                <c:pt idx="3">
                  <c:v>4465218.5791407116</c:v>
                </c:pt>
                <c:pt idx="4">
                  <c:v>4302616.4605282908</c:v>
                </c:pt>
                <c:pt idx="5">
                  <c:v>4017925.2537171808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312F-4B28-B7C3-BCC1BAA7B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4377479"/>
        <c:axId val="1480489492"/>
      </c:barChart>
      <c:catAx>
        <c:axId val="18643774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489492"/>
        <c:crosses val="autoZero"/>
        <c:auto val="1"/>
        <c:lblAlgn val="ctr"/>
        <c:lblOffset val="100"/>
        <c:noMultiLvlLbl val="1"/>
      </c:catAx>
      <c:valAx>
        <c:axId val="14804894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377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87</xdr:row>
      <xdr:rowOff>176213</xdr:rowOff>
    </xdr:from>
    <xdr:ext cx="7458075" cy="3686175"/>
    <xdr:graphicFrame macro="">
      <xdr:nvGraphicFramePr>
        <xdr:cNvPr id="1885717706" name="Chart 1">
          <a:extLst>
            <a:ext uri="{FF2B5EF4-FFF2-40B4-BE49-F238E27FC236}">
              <a16:creationId xmlns:a16="http://schemas.microsoft.com/office/drawing/2014/main" id="{00000000-0008-0000-0000-0000CAC465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6"/>
  <sheetViews>
    <sheetView tabSelected="1" zoomScale="140" zoomScaleNormal="14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ColWidth="12.59765625" defaultRowHeight="15" customHeight="1"/>
  <cols>
    <col min="1" max="1" width="32.59765625" customWidth="1"/>
    <col min="2" max="2" width="9" customWidth="1"/>
    <col min="3" max="3" width="9.69921875" customWidth="1"/>
    <col min="4" max="4" width="10.09765625" customWidth="1"/>
    <col min="5" max="5" width="9" customWidth="1"/>
    <col min="6" max="8" width="8.59765625" customWidth="1"/>
    <col min="9" max="9" width="10.3984375" customWidth="1"/>
    <col min="10" max="10" width="56.3984375" customWidth="1"/>
    <col min="11" max="11" width="52" hidden="1" customWidth="1"/>
    <col min="12" max="12" width="17.19921875" hidden="1" customWidth="1"/>
    <col min="13" max="13" width="14" hidden="1" customWidth="1"/>
    <col min="14" max="14" width="9.09765625" hidden="1" customWidth="1"/>
    <col min="15" max="15" width="9.3984375" hidden="1" customWidth="1"/>
    <col min="16" max="16" width="0.3984375" hidden="1" customWidth="1"/>
    <col min="17" max="17" width="7.59765625" hidden="1" customWidth="1"/>
    <col min="18" max="27" width="7.59765625" customWidth="1"/>
  </cols>
  <sheetData>
    <row r="1" spans="1:27" ht="14.2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4.25" customHeight="1">
      <c r="A2" s="5" t="s">
        <v>94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4.25" customHeight="1">
      <c r="A3" s="6"/>
      <c r="B3" s="6"/>
      <c r="C3" s="3"/>
      <c r="D3" s="3"/>
      <c r="E3" s="3"/>
      <c r="F3" s="3"/>
      <c r="G3" s="3"/>
      <c r="H3" s="3"/>
      <c r="I3" s="3"/>
      <c r="J3" s="3"/>
      <c r="K3" s="3"/>
      <c r="L3" s="7" t="s">
        <v>1</v>
      </c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4.25" customHeight="1">
      <c r="A4" s="8"/>
      <c r="B4" s="9" t="s">
        <v>2</v>
      </c>
      <c r="C4" s="10">
        <v>2020</v>
      </c>
      <c r="D4" s="10">
        <f t="shared" ref="D4:I4" si="0">+C4+1</f>
        <v>2021</v>
      </c>
      <c r="E4" s="10">
        <f t="shared" si="0"/>
        <v>2022</v>
      </c>
      <c r="F4" s="10">
        <f t="shared" si="0"/>
        <v>2023</v>
      </c>
      <c r="G4" s="10">
        <f t="shared" si="0"/>
        <v>2024</v>
      </c>
      <c r="H4" s="10">
        <f t="shared" si="0"/>
        <v>2025</v>
      </c>
      <c r="I4" s="10">
        <f t="shared" si="0"/>
        <v>2026</v>
      </c>
      <c r="J4" s="3" t="s">
        <v>3</v>
      </c>
      <c r="K4" s="3" t="s">
        <v>4</v>
      </c>
      <c r="L4" s="11"/>
      <c r="M4" s="11"/>
      <c r="N4" s="11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4.25" customHeight="1">
      <c r="A5" s="9"/>
      <c r="B5" s="9" t="s">
        <v>5</v>
      </c>
      <c r="C5" s="11" t="s">
        <v>6</v>
      </c>
      <c r="D5" s="11" t="s">
        <v>7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8</v>
      </c>
      <c r="J5" s="11"/>
      <c r="K5" s="11"/>
      <c r="L5" s="11"/>
      <c r="M5" s="11"/>
      <c r="N5" s="11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4.25" customHeight="1">
      <c r="A6" s="5" t="s">
        <v>9</v>
      </c>
      <c r="B6" s="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4.25" customHeight="1">
      <c r="A7" s="4"/>
      <c r="B7" s="4"/>
      <c r="C7" s="11"/>
      <c r="D7" s="4"/>
      <c r="E7" s="11"/>
      <c r="F7" s="11"/>
      <c r="G7" s="11"/>
      <c r="H7" s="11"/>
      <c r="I7" s="11"/>
      <c r="K7" s="12"/>
      <c r="L7" s="12"/>
      <c r="M7" s="11"/>
      <c r="N7" s="11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4.25" customHeight="1">
      <c r="A8" s="9" t="s">
        <v>10</v>
      </c>
      <c r="B8" s="13">
        <v>1.0449999999999999</v>
      </c>
      <c r="C8" s="14">
        <v>3640246.95</v>
      </c>
      <c r="D8" s="14">
        <v>4337739.45</v>
      </c>
      <c r="E8" s="14">
        <f t="shared" ref="E8:I8" si="1">+D8*$B8</f>
        <v>4532937.7252500001</v>
      </c>
      <c r="F8" s="14">
        <f t="shared" si="1"/>
        <v>4736919.9228862496</v>
      </c>
      <c r="G8" s="14">
        <f t="shared" si="1"/>
        <v>4950081.3194161309</v>
      </c>
      <c r="H8" s="14">
        <f t="shared" si="1"/>
        <v>5172834.9787898567</v>
      </c>
      <c r="I8" s="14">
        <f t="shared" si="1"/>
        <v>5405612.5528354002</v>
      </c>
      <c r="J8" s="42" t="s">
        <v>73</v>
      </c>
      <c r="K8" s="14"/>
      <c r="L8" s="15"/>
      <c r="M8" s="14"/>
      <c r="N8" s="14"/>
      <c r="O8" s="1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4.25" customHeight="1">
      <c r="A9" s="9" t="s">
        <v>11</v>
      </c>
      <c r="B9" s="9">
        <v>1.03</v>
      </c>
      <c r="C9" s="14">
        <v>416230.57</v>
      </c>
      <c r="D9" s="14">
        <v>432189.73</v>
      </c>
      <c r="E9" s="14">
        <f t="shared" ref="E9:I9" si="2">+D9*$B9</f>
        <v>445155.42190000002</v>
      </c>
      <c r="F9" s="14">
        <f t="shared" si="2"/>
        <v>458510.08455700002</v>
      </c>
      <c r="G9" s="14">
        <f t="shared" si="2"/>
        <v>472265.38709371001</v>
      </c>
      <c r="H9" s="14">
        <f t="shared" si="2"/>
        <v>486433.34870652133</v>
      </c>
      <c r="I9" s="14">
        <f t="shared" si="2"/>
        <v>501026.34916771698</v>
      </c>
      <c r="J9" s="42" t="s">
        <v>72</v>
      </c>
      <c r="K9" s="14"/>
      <c r="L9" s="15"/>
      <c r="M9" s="14"/>
      <c r="N9" s="14"/>
      <c r="O9" s="1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4.25" customHeight="1">
      <c r="A10" s="9" t="s">
        <v>12</v>
      </c>
      <c r="B10" s="9">
        <v>1.03</v>
      </c>
      <c r="C10" s="14">
        <f>134449.83+3207.79+88333.56</f>
        <v>225991.18</v>
      </c>
      <c r="D10" s="14">
        <v>430750</v>
      </c>
      <c r="E10" s="14">
        <f t="shared" ref="E10:I10" si="3">+D10*$B$10</f>
        <v>443672.5</v>
      </c>
      <c r="F10" s="14">
        <f t="shared" si="3"/>
        <v>456982.67499999999</v>
      </c>
      <c r="G10" s="14">
        <f t="shared" si="3"/>
        <v>470692.15525000001</v>
      </c>
      <c r="H10" s="14">
        <f t="shared" si="3"/>
        <v>484812.91990750004</v>
      </c>
      <c r="I10" s="14">
        <f t="shared" si="3"/>
        <v>499357.30750472506</v>
      </c>
      <c r="J10" s="42" t="s">
        <v>75</v>
      </c>
      <c r="K10" s="16"/>
      <c r="L10" s="15"/>
      <c r="M10" s="14"/>
      <c r="N10" s="14"/>
      <c r="O10" s="1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4.25" customHeight="1">
      <c r="A11" s="9" t="s">
        <v>13</v>
      </c>
      <c r="B11" s="9"/>
      <c r="C11" s="14">
        <v>0</v>
      </c>
      <c r="D11" s="14">
        <v>1000000</v>
      </c>
      <c r="E11" s="14">
        <v>1000000</v>
      </c>
      <c r="F11" s="14">
        <v>0</v>
      </c>
      <c r="G11" s="14"/>
      <c r="H11" s="14"/>
      <c r="I11" s="14"/>
      <c r="J11" s="42"/>
      <c r="K11" s="14"/>
      <c r="L11" s="15"/>
      <c r="M11" s="14"/>
      <c r="N11" s="14"/>
      <c r="O11" s="1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4.25" customHeight="1">
      <c r="A12" s="9" t="s">
        <v>14</v>
      </c>
      <c r="B12" s="9">
        <v>1.03</v>
      </c>
      <c r="C12" s="14">
        <f>66000+4440+666.08+25926.66+41651.4+37575.78+5309.46+29734</f>
        <v>211303.38</v>
      </c>
      <c r="D12" s="14">
        <f>3058520.78-1430750-1520021</f>
        <v>107749.7799999998</v>
      </c>
      <c r="E12" s="14">
        <f t="shared" ref="E12:I12" si="4">+D12*$B$12</f>
        <v>110982.27339999979</v>
      </c>
      <c r="F12" s="14">
        <f t="shared" si="4"/>
        <v>114311.74160199979</v>
      </c>
      <c r="G12" s="14">
        <f t="shared" si="4"/>
        <v>117741.09385005978</v>
      </c>
      <c r="H12" s="14">
        <f t="shared" si="4"/>
        <v>121273.32666556157</v>
      </c>
      <c r="I12" s="14">
        <f t="shared" si="4"/>
        <v>124911.52646552843</v>
      </c>
      <c r="J12" s="42"/>
      <c r="K12" s="14"/>
      <c r="L12" s="15"/>
      <c r="M12" s="14"/>
      <c r="N12" s="14"/>
      <c r="O12" s="1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4.25" customHeight="1">
      <c r="A13" s="9" t="s">
        <v>15</v>
      </c>
      <c r="B13" s="9">
        <v>1.03</v>
      </c>
      <c r="C13" s="14">
        <f>339.56+3430.5+2150+2969+114890+53459.45+49886.09+25580+67599.65+39603.65+9842+50890+24594.97+53450.43+28025+211881.6+42733.2+8411.24+178348.83+27820+54828.6+86136.6+20585+122446.63+33961.9+148750+96005.37</f>
        <v>1558619.27</v>
      </c>
      <c r="D13" s="14">
        <f>1520020.78-9000-1800</f>
        <v>1509220.78</v>
      </c>
      <c r="E13" s="14">
        <f t="shared" ref="E13:I13" si="5">+D13*$B$13</f>
        <v>1554497.4034000002</v>
      </c>
      <c r="F13" s="14">
        <f t="shared" si="5"/>
        <v>1601132.3255020003</v>
      </c>
      <c r="G13" s="14">
        <f t="shared" si="5"/>
        <v>1649166.2952670604</v>
      </c>
      <c r="H13" s="14">
        <f t="shared" si="5"/>
        <v>1698641.2841250722</v>
      </c>
      <c r="I13" s="14">
        <f t="shared" si="5"/>
        <v>1749600.5226488244</v>
      </c>
      <c r="J13" s="42"/>
      <c r="K13" s="14"/>
      <c r="L13" s="15" t="s">
        <v>16</v>
      </c>
      <c r="M13" s="14"/>
      <c r="N13" s="14"/>
      <c r="O13" s="17">
        <f>674866.9+120051.58+127529.63+1852756.63+78935.91</f>
        <v>2854140.65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4.25" customHeight="1">
      <c r="A14" s="9" t="s">
        <v>17</v>
      </c>
      <c r="B14" s="9">
        <v>1.03</v>
      </c>
      <c r="C14" s="14">
        <f>6445123.52-C8-C9-C10-C11-C12-C13</f>
        <v>392732.16999999946</v>
      </c>
      <c r="D14" s="14">
        <f>8361215.52-D13-D12-D11-D10-D9-D8</f>
        <v>543565.7799999984</v>
      </c>
      <c r="E14" s="14">
        <f t="shared" ref="E14:I14" si="6">+D14*$B14</f>
        <v>559872.75339999842</v>
      </c>
      <c r="F14" s="14">
        <f t="shared" si="6"/>
        <v>576668.93600199837</v>
      </c>
      <c r="G14" s="14">
        <f t="shared" si="6"/>
        <v>593969.00408205832</v>
      </c>
      <c r="H14" s="14">
        <f t="shared" si="6"/>
        <v>611788.07420452009</v>
      </c>
      <c r="I14" s="14">
        <f t="shared" si="6"/>
        <v>630141.71643065568</v>
      </c>
      <c r="J14" s="42"/>
      <c r="K14" s="14"/>
      <c r="L14" s="15"/>
      <c r="M14" s="14"/>
      <c r="N14" s="14"/>
      <c r="O14" s="14">
        <f>674866.9+120051.58+179527.63+182756.63+78935.91</f>
        <v>1236138.6499999999</v>
      </c>
      <c r="P14" s="4" t="s">
        <v>18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4.25" customHeight="1">
      <c r="A15" s="9"/>
      <c r="B15" s="9"/>
      <c r="C15" s="14"/>
      <c r="D15" s="14"/>
      <c r="E15" s="14"/>
      <c r="F15" s="14"/>
      <c r="G15" s="14"/>
      <c r="H15" s="14"/>
      <c r="I15" s="14"/>
      <c r="J15" s="42"/>
      <c r="K15" s="14"/>
      <c r="L15" s="15"/>
      <c r="M15" s="15"/>
      <c r="N15" s="14"/>
      <c r="O15" s="1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4.25" customHeight="1">
      <c r="A16" s="9" t="s">
        <v>19</v>
      </c>
      <c r="B16" s="9"/>
      <c r="C16" s="14">
        <f t="shared" ref="C16:I16" si="7">SUM(C8:C15)</f>
        <v>6445123.5199999996</v>
      </c>
      <c r="D16" s="14">
        <f t="shared" si="7"/>
        <v>8361215.5199999977</v>
      </c>
      <c r="E16" s="14">
        <f t="shared" si="7"/>
        <v>8647118.0773499981</v>
      </c>
      <c r="F16" s="14">
        <f t="shared" si="7"/>
        <v>7944525.6855492471</v>
      </c>
      <c r="G16" s="14">
        <f t="shared" si="7"/>
        <v>8253915.2549590189</v>
      </c>
      <c r="H16" s="14">
        <f t="shared" si="7"/>
        <v>8575783.9323990308</v>
      </c>
      <c r="I16" s="14">
        <f t="shared" si="7"/>
        <v>8910649.9750528503</v>
      </c>
      <c r="J16" s="42" t="s">
        <v>76</v>
      </c>
      <c r="K16" s="14"/>
      <c r="L16" s="15"/>
      <c r="M16" s="4"/>
      <c r="N16" s="14"/>
      <c r="O16" s="1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4.25" customHeight="1">
      <c r="A17" s="9"/>
      <c r="B17" s="9"/>
      <c r="C17" s="14"/>
      <c r="D17" s="14"/>
      <c r="E17" s="14"/>
      <c r="F17" s="14"/>
      <c r="G17" s="14"/>
      <c r="H17" s="14"/>
      <c r="I17" s="14"/>
      <c r="J17" s="42"/>
      <c r="K17" s="14"/>
      <c r="L17" s="14"/>
      <c r="M17" s="14" t="s">
        <v>20</v>
      </c>
      <c r="N17" s="14"/>
      <c r="O17" s="1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4.25" customHeight="1">
      <c r="A18" s="5" t="s">
        <v>21</v>
      </c>
      <c r="B18" s="5"/>
      <c r="D18" s="29"/>
      <c r="E18" s="29"/>
      <c r="F18" s="29"/>
      <c r="G18" s="18"/>
      <c r="H18" s="18"/>
      <c r="I18" s="18"/>
      <c r="J18" s="43"/>
      <c r="K18" s="18"/>
      <c r="L18" s="14"/>
      <c r="M18" s="14" t="s">
        <v>22</v>
      </c>
      <c r="N18" s="14"/>
      <c r="O18" s="1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4.25" customHeight="1">
      <c r="A19" s="5"/>
      <c r="B19" s="5"/>
      <c r="D19" s="29"/>
      <c r="E19" s="29"/>
      <c r="F19" s="29"/>
      <c r="G19" s="18"/>
      <c r="H19" s="18"/>
      <c r="I19" s="18"/>
      <c r="J19" s="18"/>
      <c r="K19" s="18"/>
      <c r="L19" s="14"/>
      <c r="M19" s="14"/>
      <c r="N19" s="14"/>
      <c r="O19" s="1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4.25" customHeight="1">
      <c r="A20" s="9" t="s">
        <v>82</v>
      </c>
      <c r="B20" s="9">
        <v>1.03</v>
      </c>
      <c r="C20" s="14">
        <f>3619100.94-C22-C24</f>
        <v>2438895.94</v>
      </c>
      <c r="D20" s="14">
        <f>+D56</f>
        <v>2236055</v>
      </c>
      <c r="E20" s="14">
        <f t="shared" ref="E20:I20" si="8">+E56</f>
        <v>2303136.65</v>
      </c>
      <c r="F20" s="14">
        <f t="shared" si="8"/>
        <v>2372230.7494999999</v>
      </c>
      <c r="G20" s="14">
        <f t="shared" si="8"/>
        <v>2443397.6719849999</v>
      </c>
      <c r="H20" s="14">
        <f t="shared" si="8"/>
        <v>2516699.6021445501</v>
      </c>
      <c r="I20" s="14">
        <f t="shared" si="8"/>
        <v>2592200.5902088867</v>
      </c>
      <c r="J20" s="47" t="s">
        <v>91</v>
      </c>
      <c r="K20" s="17"/>
      <c r="L20" s="14"/>
      <c r="M20" s="14" t="s">
        <v>23</v>
      </c>
      <c r="N20" s="14"/>
      <c r="O20" s="1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4.25" customHeight="1">
      <c r="A21" s="9" t="s">
        <v>83</v>
      </c>
      <c r="B21" s="9" t="s">
        <v>24</v>
      </c>
      <c r="C21" s="30">
        <v>0</v>
      </c>
      <c r="D21" s="30">
        <f>+D16-D20-D22-D23-D24-D25-D26-D27-D28-D29-D30-D31-D32-D33-D34-D35-D36-D37-D38-D39-D40-D41-D42-D43-D44-D45-D46</f>
        <v>-660061.59000000218</v>
      </c>
      <c r="E21" s="30">
        <f>+E16-E20-E22-E23-E24-E25-E26-E27-E28-E29-E30-E31-E32-E33-E34-E35-E36-E37-E38-E39-E40-E41-E42-E43-E44-E45-E46</f>
        <v>-162745.83595000254</v>
      </c>
      <c r="F21" s="30">
        <f t="shared" ref="F21:I21" si="9">+F16-F20-F22-F23-F24-F25-F26-F27-F28-F29-F30-F31-F32-F33-F34-F35-F36-F37-F38-F39-F40-F41-F42-F43-F44-F45-F46</f>
        <v>-60774.596749753167</v>
      </c>
      <c r="G21" s="30">
        <f t="shared" si="9"/>
        <v>47563.503559048229</v>
      </c>
      <c r="H21" s="30">
        <f t="shared" si="9"/>
        <v>162602.11861242121</v>
      </c>
      <c r="I21" s="30">
        <f t="shared" si="9"/>
        <v>284691.20681111037</v>
      </c>
      <c r="K21" s="17"/>
      <c r="L21" s="14"/>
      <c r="M21" s="14" t="s">
        <v>25</v>
      </c>
      <c r="N21" s="14"/>
      <c r="O21" s="1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37.200000000000003" customHeight="1">
      <c r="A22" s="9" t="s">
        <v>86</v>
      </c>
      <c r="B22" s="9">
        <v>1.03</v>
      </c>
      <c r="C22" s="14">
        <f>32531+53076</f>
        <v>85607</v>
      </c>
      <c r="D22" s="14">
        <v>2029203</v>
      </c>
      <c r="E22" s="14">
        <f>1089544</f>
        <v>1089544</v>
      </c>
      <c r="F22" s="14">
        <f t="shared" ref="F22:I22" si="10">+E22*$B22</f>
        <v>1122230.32</v>
      </c>
      <c r="G22" s="14">
        <f t="shared" si="10"/>
        <v>1155897.2296000002</v>
      </c>
      <c r="H22" s="14">
        <f t="shared" si="10"/>
        <v>1190574.1464880002</v>
      </c>
      <c r="I22" s="14">
        <f t="shared" si="10"/>
        <v>1226291.3708826401</v>
      </c>
      <c r="J22" s="45" t="s">
        <v>93</v>
      </c>
      <c r="K22" s="14"/>
      <c r="L22" s="14"/>
      <c r="M22" s="14">
        <v>1027000</v>
      </c>
      <c r="N22" s="1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45.75" customHeight="1">
      <c r="A23" s="46" t="s">
        <v>92</v>
      </c>
      <c r="B23" s="9">
        <v>1</v>
      </c>
      <c r="C23" s="14"/>
      <c r="D23" s="14"/>
      <c r="E23" s="14">
        <f>2900000/5</f>
        <v>580000</v>
      </c>
      <c r="F23" s="14">
        <v>580000</v>
      </c>
      <c r="G23" s="14">
        <v>580000</v>
      </c>
      <c r="H23" s="14">
        <v>580000</v>
      </c>
      <c r="I23" s="14">
        <v>580000</v>
      </c>
      <c r="J23" s="40" t="s">
        <v>87</v>
      </c>
      <c r="K23" s="14"/>
      <c r="L23" s="14"/>
      <c r="M23" s="14"/>
      <c r="N23" s="1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4.25" customHeight="1">
      <c r="A24" s="9" t="s">
        <v>84</v>
      </c>
      <c r="B24" s="9">
        <v>1.02</v>
      </c>
      <c r="C24" s="14">
        <v>1094598</v>
      </c>
      <c r="D24" s="14">
        <v>715896</v>
      </c>
      <c r="E24" s="14">
        <f t="shared" ref="E24:I24" si="11">+D24*$B$24</f>
        <v>730213.92</v>
      </c>
      <c r="F24" s="14">
        <f t="shared" si="11"/>
        <v>744818.19840000011</v>
      </c>
      <c r="G24" s="14">
        <f t="shared" si="11"/>
        <v>759714.56236800016</v>
      </c>
      <c r="H24" s="14">
        <f t="shared" si="11"/>
        <v>774908.85361536022</v>
      </c>
      <c r="I24" s="14">
        <f t="shared" si="11"/>
        <v>790407.03068766743</v>
      </c>
      <c r="J24" s="42" t="s">
        <v>74</v>
      </c>
      <c r="K24" s="14"/>
      <c r="L24" s="14"/>
      <c r="M24" s="14">
        <f>+M22*1.03</f>
        <v>1057810</v>
      </c>
      <c r="N24" s="14" t="s">
        <v>26</v>
      </c>
      <c r="O24" s="1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4.25" customHeight="1">
      <c r="A25" s="9" t="s">
        <v>27</v>
      </c>
      <c r="B25" s="9">
        <v>1</v>
      </c>
      <c r="C25" s="14">
        <v>140000</v>
      </c>
      <c r="D25" s="14">
        <v>140000</v>
      </c>
      <c r="E25" s="14">
        <v>140000</v>
      </c>
      <c r="F25" s="14">
        <f t="shared" ref="F25:I25" si="12">+E25</f>
        <v>140000</v>
      </c>
      <c r="G25" s="14">
        <f t="shared" si="12"/>
        <v>140000</v>
      </c>
      <c r="H25" s="14">
        <f t="shared" si="12"/>
        <v>140000</v>
      </c>
      <c r="I25" s="14">
        <f t="shared" si="12"/>
        <v>140000</v>
      </c>
      <c r="J25" s="42" t="s">
        <v>77</v>
      </c>
      <c r="K25" s="14"/>
      <c r="L25" s="14"/>
      <c r="M25" s="17">
        <f t="shared" ref="M25" si="13">+M24*1.03</f>
        <v>1089544.3</v>
      </c>
      <c r="N25" s="14" t="s">
        <v>28</v>
      </c>
      <c r="O25" s="1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4.25" customHeight="1">
      <c r="A26" s="9" t="s">
        <v>58</v>
      </c>
      <c r="B26" s="34" t="s">
        <v>70</v>
      </c>
      <c r="C26" s="14">
        <f>78513.59+82170.41</f>
        <v>160684</v>
      </c>
      <c r="D26" s="14">
        <f t="shared" ref="D26:I26" si="14">+D24/0.8*0.2</f>
        <v>178974</v>
      </c>
      <c r="E26" s="14">
        <f t="shared" si="14"/>
        <v>182553.48</v>
      </c>
      <c r="F26" s="14">
        <f t="shared" si="14"/>
        <v>186204.54960000003</v>
      </c>
      <c r="G26" s="14">
        <f t="shared" si="14"/>
        <v>189928.64059200004</v>
      </c>
      <c r="H26" s="14">
        <f t="shared" si="14"/>
        <v>193727.21340384005</v>
      </c>
      <c r="I26" s="14">
        <f t="shared" si="14"/>
        <v>197601.75767191686</v>
      </c>
      <c r="J26" s="42" t="s">
        <v>59</v>
      </c>
      <c r="K26" s="16"/>
      <c r="L26" s="14"/>
      <c r="M26" s="14"/>
      <c r="N26" s="14"/>
      <c r="O26" s="1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4.25" customHeight="1">
      <c r="A27" s="9" t="s">
        <v>60</v>
      </c>
      <c r="B27" s="9">
        <v>1.02</v>
      </c>
      <c r="C27" s="14">
        <f>44291.45+19473.41+70000+66000</f>
        <v>199764.86</v>
      </c>
      <c r="D27" s="14">
        <v>320772</v>
      </c>
      <c r="E27" s="14">
        <f t="shared" ref="E27:I27" si="15">+D27*$B$27</f>
        <v>327187.44</v>
      </c>
      <c r="F27" s="14">
        <f t="shared" si="15"/>
        <v>333731.1888</v>
      </c>
      <c r="G27" s="14">
        <f t="shared" si="15"/>
        <v>340405.812576</v>
      </c>
      <c r="H27" s="14">
        <f t="shared" si="15"/>
        <v>347213.92882751999</v>
      </c>
      <c r="I27" s="14">
        <f t="shared" si="15"/>
        <v>354158.20740407042</v>
      </c>
      <c r="J27" s="42"/>
      <c r="K27" s="14"/>
      <c r="L27" s="14"/>
      <c r="M27" s="14"/>
      <c r="N27" s="14"/>
      <c r="O27" s="1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4.25" customHeight="1">
      <c r="A28" s="9" t="s">
        <v>61</v>
      </c>
      <c r="B28" s="9">
        <v>1</v>
      </c>
      <c r="C28" s="14">
        <v>3232.6</v>
      </c>
      <c r="D28" s="14">
        <v>10000</v>
      </c>
      <c r="E28" s="14">
        <f t="shared" ref="E28:I28" si="16">+D28</f>
        <v>10000</v>
      </c>
      <c r="F28" s="14">
        <f t="shared" si="16"/>
        <v>10000</v>
      </c>
      <c r="G28" s="14">
        <f t="shared" si="16"/>
        <v>10000</v>
      </c>
      <c r="H28" s="14">
        <f t="shared" si="16"/>
        <v>10000</v>
      </c>
      <c r="I28" s="14">
        <f t="shared" si="16"/>
        <v>10000</v>
      </c>
      <c r="J28" s="42"/>
      <c r="K28" s="14"/>
      <c r="L28" s="14"/>
      <c r="M28" s="14"/>
      <c r="N28" s="14"/>
      <c r="O28" s="1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4.25" customHeight="1">
      <c r="A29" s="9" t="s">
        <v>29</v>
      </c>
      <c r="B29" s="9">
        <v>1</v>
      </c>
      <c r="C29" s="14">
        <v>2000</v>
      </c>
      <c r="D29" s="14">
        <v>2000</v>
      </c>
      <c r="E29" s="14">
        <v>2000</v>
      </c>
      <c r="F29" s="14">
        <v>2000</v>
      </c>
      <c r="G29" s="14">
        <f t="shared" ref="G29:I29" si="17">+F29</f>
        <v>2000</v>
      </c>
      <c r="H29" s="14">
        <f t="shared" si="17"/>
        <v>2000</v>
      </c>
      <c r="I29" s="14">
        <f t="shared" si="17"/>
        <v>2000</v>
      </c>
      <c r="J29" s="42"/>
      <c r="K29" s="14"/>
      <c r="L29" s="14"/>
      <c r="M29" s="4"/>
      <c r="N29" s="14"/>
      <c r="O29" s="1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4.25" customHeight="1">
      <c r="A30" s="9" t="s">
        <v>30</v>
      </c>
      <c r="B30" s="9">
        <v>1</v>
      </c>
      <c r="C30" s="14">
        <v>5744.71</v>
      </c>
      <c r="D30" s="14">
        <f>6730.37+3269.63</f>
        <v>10000</v>
      </c>
      <c r="E30" s="14">
        <f t="shared" ref="E30:I30" si="18">+D30*$B$30</f>
        <v>10000</v>
      </c>
      <c r="F30" s="14">
        <f t="shared" si="18"/>
        <v>10000</v>
      </c>
      <c r="G30" s="14">
        <f t="shared" si="18"/>
        <v>10000</v>
      </c>
      <c r="H30" s="14">
        <f t="shared" si="18"/>
        <v>10000</v>
      </c>
      <c r="I30" s="14">
        <f t="shared" si="18"/>
        <v>10000</v>
      </c>
      <c r="J30" s="42" t="s">
        <v>78</v>
      </c>
      <c r="K30" s="14"/>
      <c r="L30" s="14"/>
      <c r="M30" s="4"/>
      <c r="N30" s="14"/>
      <c r="O30" s="1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4.25" customHeight="1">
      <c r="A31" s="9" t="s">
        <v>31</v>
      </c>
      <c r="B31" s="9">
        <v>1</v>
      </c>
      <c r="C31" s="14">
        <v>7274.39</v>
      </c>
      <c r="D31" s="14">
        <v>20000</v>
      </c>
      <c r="E31" s="14">
        <v>10000</v>
      </c>
      <c r="F31" s="14">
        <v>10000</v>
      </c>
      <c r="G31" s="14">
        <f t="shared" ref="G31:I31" si="19">+F31*$B$31</f>
        <v>10000</v>
      </c>
      <c r="H31" s="14">
        <f t="shared" si="19"/>
        <v>10000</v>
      </c>
      <c r="I31" s="14">
        <f t="shared" si="19"/>
        <v>10000</v>
      </c>
      <c r="J31" s="42" t="s">
        <v>78</v>
      </c>
      <c r="K31" s="19"/>
      <c r="L31" s="14"/>
      <c r="M31" s="4"/>
      <c r="N31" s="14"/>
      <c r="O31" s="1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4.25" customHeight="1">
      <c r="A32" s="9" t="s">
        <v>32</v>
      </c>
      <c r="B32" s="9">
        <v>1.03</v>
      </c>
      <c r="C32" s="14">
        <v>37373.54</v>
      </c>
      <c r="D32" s="14">
        <v>42805.32</v>
      </c>
      <c r="E32" s="14">
        <f t="shared" ref="E32:I32" si="20">+D32*$B32</f>
        <v>44089.479599999999</v>
      </c>
      <c r="F32" s="14">
        <f t="shared" si="20"/>
        <v>45412.163988</v>
      </c>
      <c r="G32" s="14">
        <f t="shared" si="20"/>
        <v>46774.52890764</v>
      </c>
      <c r="H32" s="14">
        <f t="shared" si="20"/>
        <v>48177.764774869203</v>
      </c>
      <c r="I32" s="14">
        <f t="shared" si="20"/>
        <v>49623.097718115278</v>
      </c>
      <c r="J32" s="42" t="s">
        <v>79</v>
      </c>
      <c r="K32" s="14"/>
      <c r="L32" s="14"/>
      <c r="M32" s="4"/>
      <c r="N32" s="14"/>
      <c r="O32" s="1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4.25" customHeight="1">
      <c r="A33" s="9" t="s">
        <v>33</v>
      </c>
      <c r="B33" s="9">
        <v>1.03</v>
      </c>
      <c r="C33" s="14">
        <v>85504.22</v>
      </c>
      <c r="D33" s="14">
        <v>89371.79</v>
      </c>
      <c r="E33" s="14">
        <f t="shared" ref="E33:I33" si="21">+D33*$B33</f>
        <v>92052.943699999989</v>
      </c>
      <c r="F33" s="14">
        <f t="shared" si="21"/>
        <v>94814.532010999988</v>
      </c>
      <c r="G33" s="14">
        <f t="shared" si="21"/>
        <v>97658.967971329985</v>
      </c>
      <c r="H33" s="14">
        <f t="shared" si="21"/>
        <v>100588.73701046989</v>
      </c>
      <c r="I33" s="14">
        <f t="shared" si="21"/>
        <v>103606.39912078399</v>
      </c>
      <c r="J33" s="42" t="s">
        <v>79</v>
      </c>
      <c r="K33" s="14"/>
      <c r="L33" s="14"/>
      <c r="M33" s="4"/>
      <c r="N33" s="14"/>
      <c r="O33" s="1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4.25" customHeight="1">
      <c r="A34" s="9" t="s">
        <v>34</v>
      </c>
      <c r="B34" s="9">
        <v>1</v>
      </c>
      <c r="C34" s="14">
        <v>50000</v>
      </c>
      <c r="D34" s="14">
        <v>50000</v>
      </c>
      <c r="E34" s="14">
        <f>+D34</f>
        <v>50000</v>
      </c>
      <c r="F34" s="14">
        <v>50000</v>
      </c>
      <c r="G34" s="14">
        <f t="shared" ref="G34:I34" si="22">SUM((F34-50000)*1.05)+50000</f>
        <v>50000</v>
      </c>
      <c r="H34" s="14">
        <f t="shared" si="22"/>
        <v>50000</v>
      </c>
      <c r="I34" s="14">
        <f t="shared" si="22"/>
        <v>50000</v>
      </c>
      <c r="J34" s="42" t="s">
        <v>80</v>
      </c>
      <c r="K34" s="14"/>
      <c r="L34" s="14"/>
      <c r="M34" s="4"/>
      <c r="N34" s="14"/>
      <c r="O34" s="1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4.25" customHeight="1">
      <c r="A35" s="9" t="s">
        <v>62</v>
      </c>
      <c r="B35" s="9">
        <v>1</v>
      </c>
      <c r="C35" s="14">
        <v>7782.48</v>
      </c>
      <c r="D35" s="14">
        <v>0</v>
      </c>
      <c r="E35" s="14"/>
      <c r="F35" s="14"/>
      <c r="G35" s="14"/>
      <c r="H35" s="14"/>
      <c r="I35" s="14"/>
      <c r="J35" s="42"/>
      <c r="K35" s="14"/>
      <c r="L35" s="14"/>
      <c r="M35" s="4"/>
      <c r="N35" s="14"/>
      <c r="O35" s="1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4.25" customHeight="1">
      <c r="A36" s="9" t="s">
        <v>35</v>
      </c>
      <c r="B36" s="9">
        <v>1</v>
      </c>
      <c r="C36" s="14">
        <v>70000</v>
      </c>
      <c r="D36" s="14">
        <v>70000</v>
      </c>
      <c r="E36" s="14">
        <v>70000</v>
      </c>
      <c r="F36" s="14">
        <f t="shared" ref="F36:I36" si="23">+E36</f>
        <v>70000</v>
      </c>
      <c r="G36" s="14">
        <f t="shared" si="23"/>
        <v>70000</v>
      </c>
      <c r="H36" s="14">
        <f t="shared" si="23"/>
        <v>70000</v>
      </c>
      <c r="I36" s="14">
        <f t="shared" si="23"/>
        <v>70000</v>
      </c>
      <c r="J36" s="42" t="s">
        <v>63</v>
      </c>
      <c r="K36" s="14"/>
      <c r="L36" s="14"/>
      <c r="M36" s="4"/>
      <c r="N36" s="14"/>
      <c r="O36" s="1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4.25" customHeight="1">
      <c r="A37" s="9" t="s">
        <v>36</v>
      </c>
      <c r="B37" s="9">
        <v>1.04</v>
      </c>
      <c r="C37" s="14">
        <v>135553.92000000001</v>
      </c>
      <c r="D37" s="14">
        <v>0</v>
      </c>
      <c r="E37" s="14">
        <v>0</v>
      </c>
      <c r="F37" s="14">
        <f t="shared" ref="F37:I37" si="24">+E37*$B$37</f>
        <v>0</v>
      </c>
      <c r="G37" s="14">
        <f t="shared" si="24"/>
        <v>0</v>
      </c>
      <c r="H37" s="14">
        <f t="shared" si="24"/>
        <v>0</v>
      </c>
      <c r="I37" s="14">
        <f t="shared" si="24"/>
        <v>0</v>
      </c>
      <c r="J37" s="42" t="s">
        <v>81</v>
      </c>
      <c r="K37" s="14"/>
      <c r="L37" s="14"/>
      <c r="M37" s="14"/>
      <c r="N37" s="14"/>
      <c r="O37" s="1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4.25" customHeight="1">
      <c r="A38" s="9" t="s">
        <v>37</v>
      </c>
      <c r="B38" s="9"/>
      <c r="C38" s="14">
        <v>70.760000000000005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42"/>
      <c r="K38" s="14"/>
      <c r="L38" s="14"/>
      <c r="M38" s="14"/>
      <c r="N38" s="14"/>
      <c r="O38" s="1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4.25" customHeight="1">
      <c r="A39" s="9" t="s">
        <v>38</v>
      </c>
      <c r="B39" s="9"/>
      <c r="C39" s="14"/>
      <c r="D39" s="14">
        <v>10000</v>
      </c>
      <c r="E39" s="14">
        <v>10000</v>
      </c>
      <c r="F39" s="14">
        <v>10000</v>
      </c>
      <c r="G39" s="14">
        <v>10000</v>
      </c>
      <c r="H39" s="14">
        <v>10000</v>
      </c>
      <c r="I39" s="14">
        <v>10000</v>
      </c>
      <c r="J39" s="42"/>
      <c r="K39" s="14"/>
      <c r="L39" s="14"/>
      <c r="M39" s="14"/>
      <c r="N39" s="14"/>
      <c r="O39" s="1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4.25" customHeight="1">
      <c r="A40" s="9" t="s">
        <v>39</v>
      </c>
      <c r="B40" s="9"/>
      <c r="C40" s="14"/>
      <c r="D40" s="14">
        <v>377500</v>
      </c>
      <c r="E40" s="14">
        <v>377500</v>
      </c>
      <c r="F40" s="14">
        <v>0</v>
      </c>
      <c r="G40" s="14"/>
      <c r="H40" s="14"/>
      <c r="I40" s="14"/>
      <c r="J40" s="42"/>
      <c r="K40" s="14"/>
      <c r="L40" s="14"/>
      <c r="M40" s="14"/>
      <c r="N40" s="14"/>
      <c r="O40" s="1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4.25" customHeight="1">
      <c r="A41" s="9" t="s">
        <v>40</v>
      </c>
      <c r="B41" s="9"/>
      <c r="C41" s="14"/>
      <c r="D41" s="14">
        <v>622500</v>
      </c>
      <c r="E41" s="14">
        <v>622500</v>
      </c>
      <c r="F41" s="14"/>
      <c r="G41" s="14"/>
      <c r="H41" s="14"/>
      <c r="I41" s="14"/>
      <c r="J41" s="42"/>
      <c r="K41" s="14"/>
      <c r="L41" s="14"/>
      <c r="M41" s="14"/>
      <c r="N41" s="14"/>
      <c r="O41" s="1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4.25" customHeight="1">
      <c r="A42" s="9" t="s">
        <v>41</v>
      </c>
      <c r="B42" s="9">
        <v>1.03</v>
      </c>
      <c r="C42" s="14">
        <f>432316.41+229649</f>
        <v>661965.40999999992</v>
      </c>
      <c r="D42" s="14">
        <v>1030000</v>
      </c>
      <c r="E42" s="14">
        <f t="shared" ref="E42:I42" si="25">+D42*$B$42</f>
        <v>1060900</v>
      </c>
      <c r="F42" s="14">
        <f t="shared" si="25"/>
        <v>1092727</v>
      </c>
      <c r="G42" s="14">
        <f t="shared" si="25"/>
        <v>1125508.81</v>
      </c>
      <c r="H42" s="14">
        <f t="shared" si="25"/>
        <v>1159274.0743</v>
      </c>
      <c r="I42" s="14">
        <f t="shared" si="25"/>
        <v>1194052.2965289999</v>
      </c>
      <c r="J42" s="42"/>
      <c r="K42" s="14"/>
      <c r="L42" s="14"/>
      <c r="M42" s="14"/>
      <c r="N42" s="1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4.25" customHeight="1">
      <c r="A43" s="9" t="s">
        <v>42</v>
      </c>
      <c r="B43" s="9">
        <v>1.03</v>
      </c>
      <c r="C43" s="14">
        <f>169725.05+135317.4+820.5</f>
        <v>305862.94999999995</v>
      </c>
      <c r="D43" s="14">
        <v>307200</v>
      </c>
      <c r="E43" s="14">
        <f t="shared" ref="E43:I43" si="26">+D43*$B$43</f>
        <v>316416</v>
      </c>
      <c r="F43" s="14">
        <f t="shared" si="26"/>
        <v>325908.47999999998</v>
      </c>
      <c r="G43" s="14">
        <f t="shared" si="26"/>
        <v>335685.73440000002</v>
      </c>
      <c r="H43" s="14">
        <f t="shared" si="26"/>
        <v>345756.30643200001</v>
      </c>
      <c r="I43" s="14">
        <f t="shared" si="26"/>
        <v>356128.99562495999</v>
      </c>
      <c r="J43" s="42"/>
      <c r="K43" s="14"/>
      <c r="L43" s="14"/>
      <c r="M43" s="14"/>
      <c r="N43" s="14"/>
      <c r="O43" s="14"/>
      <c r="P43" s="14"/>
      <c r="Q43" s="1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4.25" customHeight="1">
      <c r="A44" s="9" t="s">
        <v>43</v>
      </c>
      <c r="B44" s="9">
        <v>1.03</v>
      </c>
      <c r="C44" s="14">
        <f>65285.24+33601.23</f>
        <v>98886.47</v>
      </c>
      <c r="D44" s="14">
        <v>150000</v>
      </c>
      <c r="E44" s="14">
        <f t="shared" ref="E44:I44" si="27">+D44*$B$44</f>
        <v>154500</v>
      </c>
      <c r="F44" s="14">
        <f t="shared" si="27"/>
        <v>159135</v>
      </c>
      <c r="G44" s="14">
        <f t="shared" si="27"/>
        <v>163909.05000000002</v>
      </c>
      <c r="H44" s="14">
        <f t="shared" si="27"/>
        <v>168826.32150000002</v>
      </c>
      <c r="I44" s="14">
        <f t="shared" si="27"/>
        <v>173891.11114500003</v>
      </c>
      <c r="J44" s="42"/>
      <c r="K44" s="14"/>
      <c r="L44" s="14"/>
      <c r="M44" s="14"/>
      <c r="N44" s="14"/>
      <c r="O44" s="14"/>
      <c r="P44" s="14"/>
      <c r="Q44" s="14"/>
      <c r="R44" s="14"/>
      <c r="S44" s="14"/>
      <c r="T44" s="4"/>
      <c r="U44" s="4"/>
      <c r="V44" s="4"/>
      <c r="W44" s="4"/>
      <c r="X44" s="4"/>
      <c r="Y44" s="4"/>
      <c r="Z44" s="4"/>
      <c r="AA44" s="4"/>
    </row>
    <row r="45" spans="1:27" ht="14.25" customHeight="1">
      <c r="A45" s="9" t="s">
        <v>44</v>
      </c>
      <c r="B45" s="9">
        <v>1.03</v>
      </c>
      <c r="C45" s="14">
        <v>411243.97</v>
      </c>
      <c r="D45" s="14">
        <v>300000</v>
      </c>
      <c r="E45" s="14">
        <f t="shared" ref="E45:I45" si="28">+D45*$B$45</f>
        <v>309000</v>
      </c>
      <c r="F45" s="14">
        <f t="shared" si="28"/>
        <v>318270</v>
      </c>
      <c r="G45" s="14">
        <f t="shared" si="28"/>
        <v>327818.10000000003</v>
      </c>
      <c r="H45" s="14">
        <f t="shared" si="28"/>
        <v>337652.64300000004</v>
      </c>
      <c r="I45" s="14">
        <f t="shared" si="28"/>
        <v>347782.22229000006</v>
      </c>
      <c r="J45" s="42"/>
      <c r="K45" s="14"/>
      <c r="L45" s="14"/>
      <c r="M45" s="14"/>
      <c r="N45" s="1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4.25" customHeight="1">
      <c r="A46" s="9" t="s">
        <v>45</v>
      </c>
      <c r="B46" s="9">
        <v>1.03</v>
      </c>
      <c r="C46" s="14">
        <f>40000+33750+126000+20000+30000+5000+7000+45000+5000+41215.43+323.3+1683.33+35000+33601.23+10000+8411.24+8000+15000+20585+2610-45101</f>
        <v>443078.52999999997</v>
      </c>
      <c r="D46" s="14">
        <v>309000</v>
      </c>
      <c r="E46" s="14">
        <f t="shared" ref="E46:I46" si="29">+D46*$B46</f>
        <v>318270</v>
      </c>
      <c r="F46" s="14">
        <f t="shared" si="29"/>
        <v>327818.10000000003</v>
      </c>
      <c r="G46" s="14">
        <f t="shared" si="29"/>
        <v>337652.64300000004</v>
      </c>
      <c r="H46" s="14">
        <f t="shared" si="29"/>
        <v>347782.22229000006</v>
      </c>
      <c r="I46" s="14">
        <f t="shared" si="29"/>
        <v>358215.68895870005</v>
      </c>
      <c r="J46" s="42"/>
      <c r="K46" s="14"/>
      <c r="L46" s="14"/>
      <c r="M46" s="14"/>
      <c r="N46" s="1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4.25" customHeight="1">
      <c r="A47" s="9"/>
      <c r="B47" s="9"/>
      <c r="C47" s="14"/>
      <c r="D47" s="14"/>
      <c r="E47" s="14"/>
      <c r="F47" s="14"/>
      <c r="G47" s="14"/>
      <c r="H47" s="14"/>
      <c r="I47" s="14"/>
      <c r="J47" s="42"/>
      <c r="K47" s="14"/>
      <c r="L47" s="14"/>
      <c r="M47" s="14"/>
      <c r="N47" s="1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4.25" customHeight="1">
      <c r="A48" s="9"/>
      <c r="B48" s="9"/>
      <c r="C48" s="14"/>
      <c r="D48" s="14"/>
      <c r="E48" s="14"/>
      <c r="F48" s="14"/>
      <c r="G48" s="14"/>
      <c r="H48" s="14"/>
      <c r="I48" s="14"/>
      <c r="J48" s="42"/>
      <c r="K48" s="14"/>
      <c r="L48" s="14"/>
      <c r="M48" s="14"/>
      <c r="N48" s="1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3.5" customHeight="1">
      <c r="A49" s="9" t="s">
        <v>46</v>
      </c>
      <c r="B49" s="9"/>
      <c r="C49" s="14">
        <f>SUM(C20:C48)</f>
        <v>6445123.75</v>
      </c>
      <c r="D49" s="14">
        <f t="shared" ref="D49:I49" si="30">SUM(D20:D48)</f>
        <v>8361215.5199999986</v>
      </c>
      <c r="E49" s="14">
        <f t="shared" si="30"/>
        <v>8647118.0773499981</v>
      </c>
      <c r="F49" s="14">
        <f t="shared" si="30"/>
        <v>7944525.6855492461</v>
      </c>
      <c r="G49" s="14">
        <f t="shared" si="30"/>
        <v>8253915.2549590189</v>
      </c>
      <c r="H49" s="14">
        <f t="shared" si="30"/>
        <v>8575783.9323990308</v>
      </c>
      <c r="I49" s="14">
        <f t="shared" si="30"/>
        <v>8910649.9750528522</v>
      </c>
      <c r="J49" s="42"/>
      <c r="K49" s="14"/>
      <c r="L49" s="14"/>
      <c r="M49" s="14"/>
      <c r="N49" s="20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4.25" customHeight="1">
      <c r="A50" s="9"/>
      <c r="B50" s="9"/>
      <c r="C50" s="14">
        <v>0</v>
      </c>
      <c r="D50" s="14">
        <f t="shared" ref="D50:I50" si="31">+D16-D49</f>
        <v>0</v>
      </c>
      <c r="E50" s="14">
        <f t="shared" si="31"/>
        <v>0</v>
      </c>
      <c r="F50" s="14">
        <f t="shared" si="31"/>
        <v>0</v>
      </c>
      <c r="G50" s="14">
        <f t="shared" si="31"/>
        <v>0</v>
      </c>
      <c r="H50" s="14">
        <f t="shared" si="31"/>
        <v>0</v>
      </c>
      <c r="I50" s="14">
        <f t="shared" si="31"/>
        <v>0</v>
      </c>
      <c r="J50" s="42"/>
      <c r="K50" s="14"/>
      <c r="L50" s="14"/>
      <c r="M50" s="14"/>
      <c r="N50" s="20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4.25" customHeight="1">
      <c r="A51" s="9"/>
      <c r="B51" s="9"/>
      <c r="C51" s="14"/>
      <c r="D51" s="14"/>
      <c r="E51" s="14"/>
      <c r="F51" s="14"/>
      <c r="G51" s="14"/>
      <c r="H51" s="14"/>
      <c r="I51" s="14"/>
      <c r="J51" s="42"/>
      <c r="K51" s="14"/>
      <c r="L51" s="14"/>
      <c r="M51" s="14"/>
      <c r="N51" s="20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4.25" customHeight="1">
      <c r="A52" s="9" t="s">
        <v>47</v>
      </c>
      <c r="B52" s="9"/>
      <c r="C52" s="14">
        <f t="shared" ref="C52:I52" si="32">SUM(C22:C46)</f>
        <v>4006227.81</v>
      </c>
      <c r="D52" s="14">
        <f t="shared" si="32"/>
        <v>6785222.1099999994</v>
      </c>
      <c r="E52" s="14">
        <f t="shared" si="32"/>
        <v>6506727.2632999998</v>
      </c>
      <c r="F52" s="14">
        <f t="shared" si="32"/>
        <v>5633069.5327989999</v>
      </c>
      <c r="G52" s="14">
        <f t="shared" si="32"/>
        <v>5762954.0794149702</v>
      </c>
      <c r="H52" s="14">
        <f t="shared" si="32"/>
        <v>5896482.2116420604</v>
      </c>
      <c r="I52" s="14">
        <f t="shared" si="32"/>
        <v>6033758.1780328546</v>
      </c>
      <c r="J52" s="42"/>
      <c r="K52" s="14"/>
      <c r="L52" s="14"/>
      <c r="M52" s="14"/>
      <c r="N52" s="20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4.25" customHeight="1">
      <c r="A53" s="19" t="s">
        <v>48</v>
      </c>
      <c r="B53" s="19"/>
      <c r="C53" s="14">
        <f t="shared" ref="C53:I53" si="33">+C16-C52</f>
        <v>2438895.7099999995</v>
      </c>
      <c r="D53" s="14">
        <f t="shared" si="33"/>
        <v>1575993.4099999983</v>
      </c>
      <c r="E53" s="14">
        <f t="shared" si="33"/>
        <v>2140390.8140499983</v>
      </c>
      <c r="F53" s="14">
        <f t="shared" si="33"/>
        <v>2311456.1527502472</v>
      </c>
      <c r="G53" s="14">
        <f t="shared" si="33"/>
        <v>2490961.1755440487</v>
      </c>
      <c r="H53" s="14">
        <f t="shared" si="33"/>
        <v>2679301.7207569703</v>
      </c>
      <c r="I53" s="14">
        <f t="shared" si="33"/>
        <v>2876891.7970199957</v>
      </c>
      <c r="J53" s="42"/>
      <c r="K53" s="14"/>
      <c r="L53" s="20"/>
      <c r="M53" s="20"/>
      <c r="N53" s="20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4.25" customHeight="1">
      <c r="A54" s="19"/>
      <c r="B54" s="19"/>
      <c r="C54" s="20"/>
      <c r="D54" s="20"/>
      <c r="E54" s="20"/>
      <c r="F54" s="20"/>
      <c r="G54" s="20"/>
      <c r="H54" s="20"/>
      <c r="I54" s="20"/>
      <c r="J54" s="42"/>
      <c r="K54" s="14"/>
      <c r="L54" s="20"/>
      <c r="M54" s="20"/>
      <c r="N54" s="20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4.25" customHeight="1">
      <c r="A55" s="19" t="s">
        <v>49</v>
      </c>
      <c r="B55" s="19"/>
      <c r="C55" s="14">
        <v>3862041</v>
      </c>
      <c r="D55" s="14">
        <f t="shared" ref="D55:I55" si="34">+C59</f>
        <v>3629200.06</v>
      </c>
      <c r="E55" s="14">
        <f t="shared" si="34"/>
        <v>4289261.6500000022</v>
      </c>
      <c r="F55" s="14">
        <f t="shared" si="34"/>
        <v>4452007.4859500052</v>
      </c>
      <c r="G55" s="14">
        <f t="shared" si="34"/>
        <v>4512782.0826997589</v>
      </c>
      <c r="H55" s="14">
        <f t="shared" si="34"/>
        <v>4465218.5791407116</v>
      </c>
      <c r="I55" s="14">
        <f t="shared" si="34"/>
        <v>4302616.4605282908</v>
      </c>
      <c r="J55" s="42"/>
      <c r="K55" s="14"/>
      <c r="L55" s="20"/>
      <c r="M55" s="20"/>
      <c r="N55" s="20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4.25" customHeight="1">
      <c r="A56" s="19" t="s">
        <v>65</v>
      </c>
      <c r="B56" s="19">
        <v>1.03</v>
      </c>
      <c r="C56" s="29">
        <v>2206055</v>
      </c>
      <c r="D56" s="29">
        <f>+C56+30000</f>
        <v>2236055</v>
      </c>
      <c r="E56" s="29">
        <f t="shared" ref="E56:I56" si="35">+D56*$B$56</f>
        <v>2303136.65</v>
      </c>
      <c r="F56" s="29">
        <f t="shared" si="35"/>
        <v>2372230.7494999999</v>
      </c>
      <c r="G56" s="29">
        <f t="shared" si="35"/>
        <v>2443397.6719849999</v>
      </c>
      <c r="H56" s="29">
        <f t="shared" si="35"/>
        <v>2516699.6021445501</v>
      </c>
      <c r="I56" s="29">
        <f t="shared" si="35"/>
        <v>2592200.5902088867</v>
      </c>
      <c r="J56" s="42"/>
      <c r="K56" s="14"/>
      <c r="L56" s="20"/>
      <c r="M56" s="20"/>
      <c r="N56" s="20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4.25" customHeight="1">
      <c r="A57" s="19" t="s">
        <v>64</v>
      </c>
      <c r="B57" s="19"/>
      <c r="C57" s="14">
        <f t="shared" ref="C57:I57" si="36">-C20-C21</f>
        <v>-2438895.94</v>
      </c>
      <c r="D57" s="14">
        <f t="shared" si="36"/>
        <v>-1575993.4099999978</v>
      </c>
      <c r="E57" s="14">
        <f t="shared" si="36"/>
        <v>-2140390.8140499974</v>
      </c>
      <c r="F57" s="14">
        <f t="shared" si="36"/>
        <v>-2311456.1527502467</v>
      </c>
      <c r="G57" s="14">
        <f t="shared" si="36"/>
        <v>-2490961.1755440482</v>
      </c>
      <c r="H57" s="14">
        <f t="shared" si="36"/>
        <v>-2679301.7207569713</v>
      </c>
      <c r="I57" s="14">
        <f t="shared" si="36"/>
        <v>-2876891.7970199971</v>
      </c>
      <c r="J57" s="42"/>
      <c r="K57" s="14"/>
      <c r="L57" s="20"/>
      <c r="M57" s="20"/>
      <c r="N57" s="20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4.25" customHeight="1">
      <c r="A58" s="9" t="str">
        <f>+A21</f>
        <v>FHWA - PL from unobligated balance (CPG)</v>
      </c>
      <c r="B58" s="19"/>
      <c r="C58" s="14">
        <f t="shared" ref="C58:I58" si="37">+C56+C57</f>
        <v>-232840.93999999994</v>
      </c>
      <c r="D58" s="14">
        <f t="shared" si="37"/>
        <v>660061.59000000218</v>
      </c>
      <c r="E58" s="14">
        <f t="shared" si="37"/>
        <v>162745.83595000254</v>
      </c>
      <c r="F58" s="14">
        <f t="shared" si="37"/>
        <v>60774.596749753226</v>
      </c>
      <c r="G58" s="14">
        <f t="shared" si="37"/>
        <v>-47563.503559048288</v>
      </c>
      <c r="H58" s="14">
        <f t="shared" si="37"/>
        <v>-162602.11861242121</v>
      </c>
      <c r="I58" s="14">
        <f t="shared" si="37"/>
        <v>-284691.20681111049</v>
      </c>
      <c r="J58" s="42"/>
      <c r="K58" s="14"/>
      <c r="L58" s="20"/>
      <c r="M58" s="20"/>
      <c r="N58" s="20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25.5" customHeight="1">
      <c r="A59" s="31" t="s">
        <v>66</v>
      </c>
      <c r="B59" s="31"/>
      <c r="C59" s="32">
        <f>SUM(C55:C57)</f>
        <v>3629200.06</v>
      </c>
      <c r="D59" s="32">
        <f t="shared" ref="D59:I59" si="38">SUM(D55:D57)</f>
        <v>4289261.6500000022</v>
      </c>
      <c r="E59" s="32">
        <f t="shared" si="38"/>
        <v>4452007.4859500052</v>
      </c>
      <c r="F59" s="32">
        <f t="shared" si="38"/>
        <v>4512782.0826997589</v>
      </c>
      <c r="G59" s="32">
        <f t="shared" si="38"/>
        <v>4465218.5791407116</v>
      </c>
      <c r="H59" s="32">
        <f t="shared" si="38"/>
        <v>4302616.4605282908</v>
      </c>
      <c r="I59" s="32">
        <f t="shared" si="38"/>
        <v>4017925.2537171808</v>
      </c>
      <c r="J59" s="41" t="s">
        <v>89</v>
      </c>
      <c r="K59" s="14"/>
      <c r="L59" s="20"/>
      <c r="M59" s="20"/>
      <c r="N59" s="20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4.25" customHeight="1">
      <c r="A60" s="19"/>
      <c r="B60" s="19"/>
      <c r="C60" s="14"/>
      <c r="D60" s="14"/>
      <c r="E60" s="14"/>
      <c r="F60" s="14"/>
      <c r="G60" s="14"/>
      <c r="H60" s="14"/>
      <c r="I60" s="14"/>
      <c r="J60" s="14"/>
      <c r="K60" s="14"/>
      <c r="L60" s="20"/>
      <c r="M60" s="20"/>
      <c r="N60" s="20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39" customFormat="1" ht="14.25" customHeight="1">
      <c r="A61" s="35" t="s">
        <v>85</v>
      </c>
      <c r="B61" s="35"/>
      <c r="C61" s="36">
        <f>C16*0.5</f>
        <v>3222561.76</v>
      </c>
      <c r="D61" s="36">
        <f t="shared" ref="D61:I61" si="39">D16*0.5</f>
        <v>4180607.7599999988</v>
      </c>
      <c r="E61" s="36">
        <f t="shared" si="39"/>
        <v>4323559.038674999</v>
      </c>
      <c r="F61" s="36">
        <f t="shared" si="39"/>
        <v>3972262.8427746235</v>
      </c>
      <c r="G61" s="36">
        <f t="shared" si="39"/>
        <v>4126957.6274795095</v>
      </c>
      <c r="H61" s="36">
        <f t="shared" si="39"/>
        <v>4287891.9661995154</v>
      </c>
      <c r="I61" s="36">
        <f t="shared" si="39"/>
        <v>4455324.9875264252</v>
      </c>
      <c r="J61" s="36"/>
      <c r="K61" s="36"/>
      <c r="L61" s="37"/>
      <c r="M61" s="37"/>
      <c r="N61" s="37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27" s="39" customFormat="1" ht="14.25" customHeight="1">
      <c r="A62" s="35" t="s">
        <v>90</v>
      </c>
      <c r="B62" s="35"/>
      <c r="C62" s="36">
        <f>+C61-C59</f>
        <v>-406638.30000000028</v>
      </c>
      <c r="D62" s="36">
        <f t="shared" ref="D62:I62" si="40">+D61-D59</f>
        <v>-108653.89000000339</v>
      </c>
      <c r="E62" s="36">
        <f t="shared" si="40"/>
        <v>-128448.44727500621</v>
      </c>
      <c r="F62" s="36">
        <f t="shared" si="40"/>
        <v>-540519.23992513539</v>
      </c>
      <c r="G62" s="36">
        <f t="shared" si="40"/>
        <v>-338260.95166120213</v>
      </c>
      <c r="H62" s="36">
        <f t="shared" si="40"/>
        <v>-14724.494328775443</v>
      </c>
      <c r="I62" s="36">
        <f t="shared" si="40"/>
        <v>437399.73380924435</v>
      </c>
      <c r="J62" s="36"/>
      <c r="K62" s="36"/>
      <c r="L62" s="37"/>
      <c r="M62" s="37"/>
      <c r="N62" s="37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27" ht="14.25" customHeight="1">
      <c r="A63" s="19"/>
      <c r="B63" s="19"/>
      <c r="C63" s="14"/>
      <c r="D63" s="14"/>
      <c r="E63" s="14"/>
      <c r="F63" s="14"/>
      <c r="G63" s="14"/>
      <c r="H63" s="14"/>
      <c r="I63" s="14"/>
      <c r="J63" s="14"/>
      <c r="K63" s="14"/>
      <c r="L63" s="20"/>
      <c r="M63" s="20"/>
      <c r="N63" s="20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6.2" customHeight="1">
      <c r="A64" s="44" t="s">
        <v>88</v>
      </c>
      <c r="B64" s="19"/>
      <c r="C64" s="14">
        <f>+C58</f>
        <v>-232840.93999999994</v>
      </c>
      <c r="D64" s="14">
        <f t="shared" ref="D64:I64" si="41">+C64+D58</f>
        <v>427220.65000000224</v>
      </c>
      <c r="E64" s="14">
        <f t="shared" si="41"/>
        <v>589966.48595000478</v>
      </c>
      <c r="F64" s="14">
        <f t="shared" si="41"/>
        <v>650741.082699758</v>
      </c>
      <c r="G64" s="14">
        <f t="shared" si="41"/>
        <v>603177.57914070971</v>
      </c>
      <c r="H64" s="14">
        <f t="shared" si="41"/>
        <v>440575.4605282885</v>
      </c>
      <c r="I64" s="14">
        <f t="shared" si="41"/>
        <v>155884.25371717801</v>
      </c>
      <c r="J64" s="14"/>
      <c r="K64" s="14"/>
      <c r="L64" s="20"/>
      <c r="M64" s="20"/>
      <c r="N64" s="20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4.25" customHeight="1">
      <c r="A65" s="19"/>
      <c r="B65" s="19"/>
      <c r="C65" s="14"/>
      <c r="D65" s="14"/>
      <c r="E65" s="14"/>
      <c r="F65" s="14"/>
      <c r="G65" s="14"/>
      <c r="H65" s="14"/>
      <c r="I65" s="14"/>
      <c r="J65" s="14"/>
      <c r="K65" s="14"/>
      <c r="L65" s="20"/>
      <c r="M65" s="20"/>
      <c r="N65" s="20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4.25" customHeight="1">
      <c r="A66" s="19" t="s">
        <v>50</v>
      </c>
      <c r="B66" s="19">
        <v>1.01</v>
      </c>
      <c r="C66" s="14">
        <v>1157733.6299999999</v>
      </c>
      <c r="D66" s="14">
        <f t="shared" ref="D66:I66" si="42">+C66*$B$66</f>
        <v>1169310.9663</v>
      </c>
      <c r="E66" s="14">
        <f t="shared" si="42"/>
        <v>1181004.0759630001</v>
      </c>
      <c r="F66" s="14">
        <f t="shared" si="42"/>
        <v>1192814.1167226301</v>
      </c>
      <c r="G66" s="14">
        <f t="shared" si="42"/>
        <v>1204742.2578898564</v>
      </c>
      <c r="H66" s="14">
        <f t="shared" si="42"/>
        <v>1216789.6804687548</v>
      </c>
      <c r="I66" s="14">
        <f t="shared" si="42"/>
        <v>1228957.5772734424</v>
      </c>
      <c r="J66" s="14"/>
      <c r="K66" s="14"/>
      <c r="L66" s="20"/>
      <c r="M66" s="20"/>
      <c r="N66" s="20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4.25" customHeight="1">
      <c r="A67" s="19"/>
      <c r="B67" s="19"/>
      <c r="C67" s="14"/>
      <c r="D67" s="14"/>
      <c r="E67" s="14"/>
      <c r="F67" s="14"/>
      <c r="G67" s="14"/>
      <c r="H67" s="14"/>
      <c r="I67" s="14"/>
      <c r="J67" s="14"/>
      <c r="K67" s="14"/>
      <c r="L67" s="20"/>
      <c r="M67" s="20"/>
      <c r="N67" s="20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4.25" hidden="1" customHeight="1">
      <c r="A68" s="6" t="s">
        <v>51</v>
      </c>
      <c r="B68" s="6"/>
      <c r="C68" s="14"/>
      <c r="D68" s="14"/>
      <c r="E68" s="14"/>
      <c r="F68" s="14"/>
      <c r="G68" s="14"/>
      <c r="H68" s="14"/>
      <c r="I68" s="14"/>
      <c r="J68" s="14"/>
      <c r="K68" s="14"/>
      <c r="L68" s="20"/>
      <c r="M68" s="20"/>
      <c r="N68" s="20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4.25" hidden="1" customHeight="1">
      <c r="A69" s="19" t="s">
        <v>52</v>
      </c>
      <c r="B69" s="19"/>
      <c r="C69" s="14"/>
      <c r="D69" s="14">
        <v>40000</v>
      </c>
      <c r="E69" s="14"/>
      <c r="F69" s="20"/>
      <c r="G69" s="20"/>
      <c r="H69" s="20"/>
      <c r="I69" s="20"/>
      <c r="J69" s="20"/>
      <c r="K69" s="14"/>
      <c r="L69" s="20"/>
      <c r="M69" s="20"/>
      <c r="N69" s="20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4.25" hidden="1" customHeight="1">
      <c r="A70" s="19" t="s">
        <v>53</v>
      </c>
      <c r="B70" s="19"/>
      <c r="C70" s="14"/>
      <c r="D70" s="14">
        <v>145000</v>
      </c>
      <c r="E70" s="14"/>
      <c r="F70" s="20"/>
      <c r="G70" s="20"/>
      <c r="H70" s="20"/>
      <c r="I70" s="20"/>
      <c r="J70" s="20"/>
      <c r="K70" s="14"/>
      <c r="L70" s="20"/>
      <c r="M70" s="20"/>
      <c r="N70" s="20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4.25" hidden="1" customHeight="1">
      <c r="A71" s="19" t="s">
        <v>54</v>
      </c>
      <c r="B71" s="19"/>
      <c r="C71" s="14"/>
      <c r="D71" s="14">
        <v>100000</v>
      </c>
      <c r="E71" s="14"/>
      <c r="F71" s="20"/>
      <c r="G71" s="20"/>
      <c r="H71" s="20"/>
      <c r="I71" s="20"/>
      <c r="J71" s="20"/>
      <c r="K71" s="14"/>
      <c r="L71" s="20"/>
      <c r="M71" s="20"/>
      <c r="N71" s="2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4.25" hidden="1" customHeight="1">
      <c r="A72" s="19" t="s">
        <v>55</v>
      </c>
      <c r="B72" s="19"/>
      <c r="C72" s="14"/>
      <c r="D72" s="21">
        <v>36000</v>
      </c>
      <c r="E72" s="14"/>
      <c r="F72" s="20"/>
      <c r="G72" s="20"/>
      <c r="H72" s="20"/>
      <c r="I72" s="20"/>
      <c r="J72" s="20"/>
      <c r="K72" s="14"/>
      <c r="L72" s="20"/>
      <c r="M72" s="20"/>
      <c r="N72" s="20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4.25" hidden="1" customHeight="1">
      <c r="A73" s="19"/>
      <c r="B73" s="19"/>
      <c r="C73" s="14"/>
      <c r="D73" s="14">
        <f>SUM(D69:D72)</f>
        <v>321000</v>
      </c>
      <c r="E73" s="14"/>
      <c r="F73" s="20"/>
      <c r="G73" s="20"/>
      <c r="H73" s="20"/>
      <c r="I73" s="20"/>
      <c r="J73" s="20"/>
      <c r="K73" s="14"/>
      <c r="L73" s="20"/>
      <c r="M73" s="20"/>
      <c r="N73" s="20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4.25" customHeight="1">
      <c r="A74" s="31" t="s">
        <v>68</v>
      </c>
      <c r="B74" s="19"/>
      <c r="C74" s="20"/>
      <c r="D74" s="20"/>
      <c r="E74" s="20"/>
      <c r="F74" s="20"/>
      <c r="G74" s="20"/>
      <c r="H74" s="20"/>
      <c r="I74" s="20"/>
      <c r="J74" s="20"/>
      <c r="K74" s="14"/>
      <c r="L74" s="20"/>
      <c r="M74" s="20"/>
      <c r="N74" s="20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4.25" customHeight="1">
      <c r="A75" s="19" t="s">
        <v>56</v>
      </c>
      <c r="B75" s="19"/>
      <c r="C75" s="20"/>
      <c r="D75" s="20"/>
      <c r="E75" s="20"/>
      <c r="F75" s="20"/>
      <c r="G75" s="20"/>
      <c r="H75" s="20"/>
      <c r="I75" s="20"/>
      <c r="J75" s="20"/>
      <c r="K75" s="14"/>
      <c r="L75" s="20"/>
      <c r="M75" s="20"/>
      <c r="N75" s="20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4.25" customHeight="1">
      <c r="A76" s="33" t="s">
        <v>67</v>
      </c>
      <c r="B76" s="19"/>
      <c r="C76" s="20"/>
      <c r="D76" s="20"/>
      <c r="E76" s="20"/>
      <c r="F76" s="20"/>
      <c r="G76" s="20"/>
      <c r="H76" s="20"/>
      <c r="I76" s="20"/>
      <c r="J76" s="20"/>
      <c r="K76" s="14"/>
      <c r="L76" s="20"/>
      <c r="M76" s="20"/>
      <c r="N76" s="20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4.25" customHeight="1">
      <c r="A77" s="19" t="s">
        <v>57</v>
      </c>
      <c r="B77" s="19"/>
      <c r="C77" s="20"/>
      <c r="D77" s="20"/>
      <c r="E77" s="20"/>
      <c r="F77" s="20"/>
      <c r="G77" s="20"/>
      <c r="H77" s="20"/>
      <c r="I77" s="20"/>
      <c r="J77" s="20"/>
      <c r="K77" s="14"/>
      <c r="L77" s="20"/>
      <c r="M77" s="20"/>
      <c r="N77" s="20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4.25" customHeight="1">
      <c r="A78" s="19"/>
      <c r="B78" s="19"/>
      <c r="C78" s="14"/>
      <c r="D78" s="14"/>
      <c r="E78" s="14"/>
      <c r="F78" s="14"/>
      <c r="G78" s="14"/>
      <c r="H78" s="14"/>
      <c r="I78" s="14"/>
      <c r="J78" s="14"/>
      <c r="K78" s="14"/>
      <c r="L78" s="20"/>
      <c r="M78" s="20"/>
      <c r="N78" s="20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4.25" customHeight="1">
      <c r="A79" s="22"/>
      <c r="B79" s="22"/>
      <c r="C79" s="10">
        <f>+C4</f>
        <v>2020</v>
      </c>
      <c r="D79" s="10">
        <f t="shared" ref="D79:I79" si="43">+C79+1</f>
        <v>2021</v>
      </c>
      <c r="E79" s="10">
        <f t="shared" si="43"/>
        <v>2022</v>
      </c>
      <c r="F79" s="10">
        <f t="shared" si="43"/>
        <v>2023</v>
      </c>
      <c r="G79" s="10">
        <f t="shared" si="43"/>
        <v>2024</v>
      </c>
      <c r="H79" s="10">
        <f t="shared" si="43"/>
        <v>2025</v>
      </c>
      <c r="I79" s="10">
        <f t="shared" si="43"/>
        <v>2026</v>
      </c>
      <c r="J79" s="10"/>
      <c r="K79" s="10"/>
      <c r="L79" s="20"/>
      <c r="M79" s="20"/>
      <c r="N79" s="20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4.25" customHeight="1">
      <c r="A80" s="19"/>
      <c r="B80" s="19"/>
      <c r="C80" s="11" t="str">
        <f>+C5</f>
        <v>Actual</v>
      </c>
      <c r="D80" s="11" t="str">
        <f t="shared" ref="D80:I80" si="44">+D5</f>
        <v>Budgeted</v>
      </c>
      <c r="E80" s="11" t="str">
        <f t="shared" si="44"/>
        <v>Projected</v>
      </c>
      <c r="F80" s="11" t="str">
        <f t="shared" si="44"/>
        <v>Projected</v>
      </c>
      <c r="G80" s="11" t="str">
        <f t="shared" si="44"/>
        <v>Projected</v>
      </c>
      <c r="H80" s="11" t="str">
        <f t="shared" si="44"/>
        <v>Projected</v>
      </c>
      <c r="I80" s="11" t="str">
        <f t="shared" si="44"/>
        <v>Projected</v>
      </c>
      <c r="J80" s="11"/>
      <c r="K80" s="11"/>
      <c r="L80" s="20"/>
      <c r="M80" s="20"/>
      <c r="N80" s="20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4.25" customHeight="1">
      <c r="A81" s="19"/>
      <c r="B81" s="19"/>
      <c r="C81" s="14"/>
      <c r="D81" s="14"/>
      <c r="E81" s="14"/>
      <c r="F81" s="14"/>
      <c r="G81" s="14"/>
      <c r="H81" s="14"/>
      <c r="I81" s="14"/>
      <c r="J81" s="14"/>
      <c r="K81" s="14"/>
      <c r="L81" s="20"/>
      <c r="M81" s="20"/>
      <c r="N81" s="20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4.25" customHeight="1">
      <c r="A82" s="19" t="s">
        <v>19</v>
      </c>
      <c r="B82" s="19"/>
      <c r="C82" s="14">
        <f t="shared" ref="C82:I82" si="45">+C16</f>
        <v>6445123.5199999996</v>
      </c>
      <c r="D82" s="14">
        <f t="shared" si="45"/>
        <v>8361215.5199999977</v>
      </c>
      <c r="E82" s="14">
        <f t="shared" si="45"/>
        <v>8647118.0773499981</v>
      </c>
      <c r="F82" s="14">
        <f t="shared" si="45"/>
        <v>7944525.6855492471</v>
      </c>
      <c r="G82" s="14">
        <f t="shared" si="45"/>
        <v>8253915.2549590189</v>
      </c>
      <c r="H82" s="14">
        <f t="shared" si="45"/>
        <v>8575783.9323990308</v>
      </c>
      <c r="I82" s="14">
        <f t="shared" si="45"/>
        <v>8910649.9750528503</v>
      </c>
      <c r="J82" s="14"/>
      <c r="K82" s="14"/>
      <c r="L82" s="20"/>
      <c r="M82" s="20"/>
      <c r="N82" s="20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4.25" customHeight="1">
      <c r="A83" s="33" t="s">
        <v>69</v>
      </c>
      <c r="B83" s="19"/>
      <c r="C83" s="14">
        <f>+C49+C58</f>
        <v>6212282.8100000005</v>
      </c>
      <c r="D83" s="14">
        <f t="shared" ref="D83:I83" si="46">+D49+D58</f>
        <v>9021277.1100000013</v>
      </c>
      <c r="E83" s="14">
        <f t="shared" si="46"/>
        <v>8809863.9133000001</v>
      </c>
      <c r="F83" s="14">
        <f t="shared" si="46"/>
        <v>8005300.2822989989</v>
      </c>
      <c r="G83" s="14">
        <f t="shared" si="46"/>
        <v>8206351.7513999706</v>
      </c>
      <c r="H83" s="14">
        <f t="shared" si="46"/>
        <v>8413181.8137866091</v>
      </c>
      <c r="I83" s="14">
        <f t="shared" si="46"/>
        <v>8625958.7682417408</v>
      </c>
      <c r="J83" s="14"/>
      <c r="K83" s="14"/>
      <c r="L83" s="20"/>
      <c r="M83" s="20"/>
      <c r="N83" s="20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4.25" customHeight="1">
      <c r="A84" s="33" t="s">
        <v>71</v>
      </c>
      <c r="B84" s="19"/>
      <c r="C84" s="14">
        <f t="shared" ref="C84:I84" si="47">+C59</f>
        <v>3629200.06</v>
      </c>
      <c r="D84" s="14">
        <f t="shared" si="47"/>
        <v>4289261.6500000022</v>
      </c>
      <c r="E84" s="14">
        <f t="shared" si="47"/>
        <v>4452007.4859500052</v>
      </c>
      <c r="F84" s="14">
        <f t="shared" si="47"/>
        <v>4512782.0826997589</v>
      </c>
      <c r="G84" s="14">
        <f t="shared" si="47"/>
        <v>4465218.5791407116</v>
      </c>
      <c r="H84" s="14">
        <f t="shared" si="47"/>
        <v>4302616.4605282908</v>
      </c>
      <c r="I84" s="14">
        <f t="shared" si="47"/>
        <v>4017925.2537171808</v>
      </c>
      <c r="J84" s="14"/>
      <c r="K84" s="14"/>
      <c r="L84" s="20"/>
      <c r="M84" s="20"/>
      <c r="N84" s="20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4.25" customHeight="1">
      <c r="A85" s="19"/>
      <c r="B85" s="19"/>
      <c r="C85" s="14"/>
      <c r="D85" s="14"/>
      <c r="E85" s="14"/>
      <c r="F85" s="14"/>
      <c r="G85" s="14"/>
      <c r="H85" s="14"/>
      <c r="I85" s="14"/>
      <c r="J85" s="14"/>
      <c r="K85" s="14"/>
      <c r="L85" s="20"/>
      <c r="M85" s="20"/>
      <c r="N85" s="20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4.25" customHeight="1">
      <c r="A86" s="19"/>
      <c r="B86" s="19"/>
      <c r="C86" s="14"/>
      <c r="D86" s="14"/>
      <c r="E86" s="14"/>
      <c r="F86" s="14"/>
      <c r="G86" s="14"/>
      <c r="H86" s="14"/>
      <c r="I86" s="14"/>
      <c r="J86" s="14"/>
      <c r="K86" s="14"/>
      <c r="L86" s="20"/>
      <c r="M86" s="20"/>
      <c r="N86" s="20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4.25" customHeight="1">
      <c r="A87" s="2" t="str">
        <f>+A1</f>
        <v xml:space="preserve">WFRC 5 years budget projection </v>
      </c>
      <c r="B87" s="23"/>
      <c r="C87" s="14"/>
      <c r="D87" s="14"/>
      <c r="E87" s="14"/>
      <c r="F87" s="14"/>
      <c r="G87" s="14"/>
      <c r="H87" s="14"/>
      <c r="I87" s="14"/>
      <c r="J87" s="14"/>
      <c r="K87" s="14"/>
      <c r="L87" s="20"/>
      <c r="M87" s="20"/>
      <c r="N87" s="20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4.25" customHeight="1">
      <c r="A88" s="24"/>
      <c r="B88" s="24"/>
      <c r="C88" s="14"/>
      <c r="D88" s="14"/>
      <c r="E88" s="14"/>
      <c r="F88" s="14"/>
      <c r="G88" s="14"/>
      <c r="H88" s="14"/>
      <c r="I88" s="14"/>
      <c r="J88" s="14"/>
      <c r="K88" s="14"/>
      <c r="L88" s="20"/>
      <c r="M88" s="20"/>
      <c r="N88" s="20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4.25" customHeight="1">
      <c r="A89" s="24"/>
      <c r="B89" s="24"/>
      <c r="C89" s="14"/>
      <c r="D89" s="14"/>
      <c r="E89" s="14"/>
      <c r="F89" s="14"/>
      <c r="G89" s="14"/>
      <c r="H89" s="14"/>
      <c r="I89" s="14"/>
      <c r="J89" s="14"/>
      <c r="K89" s="14"/>
      <c r="L89" s="20"/>
      <c r="M89" s="20"/>
      <c r="N89" s="20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4.25" customHeight="1">
      <c r="A90" s="19"/>
      <c r="B90" s="19"/>
      <c r="C90" s="14"/>
      <c r="D90" s="14"/>
      <c r="E90" s="14"/>
      <c r="F90" s="14"/>
      <c r="G90" s="14"/>
      <c r="H90" s="14"/>
      <c r="I90" s="14"/>
      <c r="J90" s="14"/>
      <c r="K90" s="14"/>
      <c r="L90" s="20"/>
      <c r="M90" s="20"/>
      <c r="N90" s="20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4.25" customHeight="1">
      <c r="A91" s="19"/>
      <c r="B91" s="19"/>
      <c r="C91" s="14"/>
      <c r="D91" s="14"/>
      <c r="E91" s="14"/>
      <c r="F91" s="14"/>
      <c r="G91" s="14"/>
      <c r="H91" s="14"/>
      <c r="I91" s="14"/>
      <c r="J91" s="14"/>
      <c r="K91" s="14"/>
      <c r="L91" s="20"/>
      <c r="M91" s="20"/>
      <c r="N91" s="20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4.25" customHeight="1">
      <c r="A92" s="19"/>
      <c r="B92" s="19"/>
      <c r="C92" s="14"/>
      <c r="D92" s="14"/>
      <c r="E92" s="14"/>
      <c r="F92" s="14"/>
      <c r="G92" s="14"/>
      <c r="H92" s="14"/>
      <c r="I92" s="14"/>
      <c r="J92" s="14"/>
      <c r="K92" s="14"/>
      <c r="L92" s="20"/>
      <c r="M92" s="20"/>
      <c r="N92" s="20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4.25" customHeight="1">
      <c r="A93" s="19"/>
      <c r="B93" s="19"/>
      <c r="C93" s="14"/>
      <c r="D93" s="14"/>
      <c r="E93" s="14"/>
      <c r="F93" s="14"/>
      <c r="G93" s="14"/>
      <c r="H93" s="14"/>
      <c r="I93" s="14"/>
      <c r="J93" s="14"/>
      <c r="K93" s="14"/>
      <c r="L93" s="20"/>
      <c r="M93" s="20"/>
      <c r="N93" s="20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4.25" customHeight="1">
      <c r="A94" s="19"/>
      <c r="B94" s="19"/>
      <c r="C94" s="14"/>
      <c r="D94" s="14"/>
      <c r="E94" s="14"/>
      <c r="F94" s="14"/>
      <c r="G94" s="14"/>
      <c r="H94" s="14"/>
      <c r="I94" s="14"/>
      <c r="J94" s="14"/>
      <c r="K94" s="14"/>
      <c r="L94" s="20"/>
      <c r="M94" s="20"/>
      <c r="N94" s="20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4.25" customHeight="1">
      <c r="A95" s="19"/>
      <c r="B95" s="19"/>
      <c r="C95" s="14"/>
      <c r="D95" s="14"/>
      <c r="E95" s="14"/>
      <c r="F95" s="14"/>
      <c r="G95" s="14"/>
      <c r="H95" s="14"/>
      <c r="I95" s="14"/>
      <c r="J95" s="14"/>
      <c r="K95" s="14"/>
      <c r="L95" s="20"/>
      <c r="M95" s="20"/>
      <c r="N95" s="20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4.25" customHeight="1">
      <c r="A96" s="19"/>
      <c r="B96" s="19"/>
      <c r="C96" s="14"/>
      <c r="D96" s="14"/>
      <c r="E96" s="14"/>
      <c r="F96" s="14"/>
      <c r="G96" s="14"/>
      <c r="H96" s="14"/>
      <c r="I96" s="14"/>
      <c r="J96" s="14"/>
      <c r="K96" s="14"/>
      <c r="L96" s="20"/>
      <c r="M96" s="20"/>
      <c r="N96" s="20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4.25" customHeight="1">
      <c r="A97" s="19"/>
      <c r="B97" s="19"/>
      <c r="C97" s="14"/>
      <c r="D97" s="14"/>
      <c r="E97" s="14"/>
      <c r="F97" s="14"/>
      <c r="G97" s="14"/>
      <c r="H97" s="14"/>
      <c r="I97" s="14"/>
      <c r="J97" s="14"/>
      <c r="K97" s="14"/>
      <c r="L97" s="20"/>
      <c r="M97" s="20"/>
      <c r="N97" s="20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4.25" customHeight="1">
      <c r="A98" s="19"/>
      <c r="B98" s="19"/>
      <c r="C98" s="14"/>
      <c r="D98" s="14"/>
      <c r="E98" s="14"/>
      <c r="F98" s="14"/>
      <c r="G98" s="14"/>
      <c r="H98" s="14"/>
      <c r="I98" s="14"/>
      <c r="J98" s="14"/>
      <c r="K98" s="14"/>
      <c r="L98" s="20"/>
      <c r="M98" s="20"/>
      <c r="N98" s="20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4.25" customHeight="1">
      <c r="A99" s="19"/>
      <c r="B99" s="19"/>
      <c r="C99" s="14"/>
      <c r="D99" s="14"/>
      <c r="E99" s="14"/>
      <c r="F99" s="14"/>
      <c r="G99" s="14"/>
      <c r="H99" s="14"/>
      <c r="I99" s="14"/>
      <c r="J99" s="14"/>
      <c r="K99" s="14"/>
      <c r="L99" s="20"/>
      <c r="M99" s="20"/>
      <c r="N99" s="20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4.25" customHeight="1">
      <c r="A100" s="19"/>
      <c r="B100" s="19"/>
      <c r="C100" s="14"/>
      <c r="D100" s="14"/>
      <c r="E100" s="14"/>
      <c r="F100" s="14"/>
      <c r="G100" s="14"/>
      <c r="H100" s="14"/>
      <c r="I100" s="14"/>
      <c r="J100" s="14"/>
      <c r="K100" s="14"/>
      <c r="L100" s="20"/>
      <c r="M100" s="20"/>
      <c r="N100" s="20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4.25" customHeight="1">
      <c r="A101" s="19"/>
      <c r="B101" s="19"/>
      <c r="C101" s="14"/>
      <c r="D101" s="14"/>
      <c r="E101" s="14"/>
      <c r="F101" s="14"/>
      <c r="G101" s="14"/>
      <c r="H101" s="14"/>
      <c r="I101" s="14"/>
      <c r="J101" s="14"/>
      <c r="K101" s="14"/>
      <c r="L101" s="20"/>
      <c r="M101" s="20"/>
      <c r="N101" s="20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4.25" customHeight="1">
      <c r="A102" s="19"/>
      <c r="B102" s="19"/>
      <c r="C102" s="14"/>
      <c r="D102" s="14"/>
      <c r="E102" s="14"/>
      <c r="F102" s="14"/>
      <c r="G102" s="14"/>
      <c r="H102" s="14"/>
      <c r="I102" s="14"/>
      <c r="J102" s="14"/>
      <c r="K102" s="14"/>
      <c r="L102" s="20"/>
      <c r="M102" s="20"/>
      <c r="N102" s="20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4.25" customHeight="1">
      <c r="A103" s="19"/>
      <c r="B103" s="19"/>
      <c r="C103" s="14"/>
      <c r="D103" s="14"/>
      <c r="E103" s="14"/>
      <c r="F103" s="14"/>
      <c r="G103" s="14"/>
      <c r="H103" s="14"/>
      <c r="I103" s="14"/>
      <c r="J103" s="14"/>
      <c r="K103" s="14"/>
      <c r="L103" s="20"/>
      <c r="M103" s="20"/>
      <c r="N103" s="20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4.25" customHeight="1">
      <c r="A104" s="19"/>
      <c r="B104" s="19"/>
      <c r="C104" s="14"/>
      <c r="D104" s="14"/>
      <c r="E104" s="14"/>
      <c r="F104" s="14"/>
      <c r="G104" s="14"/>
      <c r="H104" s="14"/>
      <c r="I104" s="14"/>
      <c r="J104" s="14"/>
      <c r="K104" s="14"/>
      <c r="L104" s="20"/>
      <c r="M104" s="20"/>
      <c r="N104" s="20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4.25" customHeight="1">
      <c r="A105" s="19"/>
      <c r="B105" s="19"/>
      <c r="C105" s="14"/>
      <c r="D105" s="14"/>
      <c r="E105" s="14"/>
      <c r="F105" s="14"/>
      <c r="G105" s="14"/>
      <c r="H105" s="14"/>
      <c r="I105" s="14"/>
      <c r="J105" s="14"/>
      <c r="K105" s="14"/>
      <c r="L105" s="20"/>
      <c r="M105" s="20"/>
      <c r="N105" s="20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4.25" customHeight="1">
      <c r="A106" s="19"/>
      <c r="B106" s="19"/>
      <c r="C106" s="14"/>
      <c r="D106" s="14"/>
      <c r="E106" s="14"/>
      <c r="F106" s="14"/>
      <c r="G106" s="14"/>
      <c r="H106" s="14"/>
      <c r="I106" s="14"/>
      <c r="J106" s="14"/>
      <c r="K106" s="14"/>
      <c r="L106" s="20"/>
      <c r="M106" s="20"/>
      <c r="N106" s="20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4.25" customHeight="1">
      <c r="A107" s="19"/>
      <c r="B107" s="19"/>
      <c r="C107" s="14"/>
      <c r="D107" s="14"/>
      <c r="E107" s="14"/>
      <c r="F107" s="14"/>
      <c r="G107" s="14"/>
      <c r="H107" s="14"/>
      <c r="I107" s="14"/>
      <c r="J107" s="14"/>
      <c r="K107" s="14"/>
      <c r="L107" s="20"/>
      <c r="M107" s="20"/>
      <c r="N107" s="20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4.25" customHeight="1">
      <c r="A108" s="19"/>
      <c r="B108" s="19"/>
      <c r="C108" s="14"/>
      <c r="D108" s="14"/>
      <c r="E108" s="14"/>
      <c r="F108" s="14"/>
      <c r="G108" s="14"/>
      <c r="H108" s="14"/>
      <c r="I108" s="14"/>
      <c r="J108" s="14"/>
      <c r="K108" s="14"/>
      <c r="L108" s="20"/>
      <c r="M108" s="20"/>
      <c r="N108" s="20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4.25" customHeight="1">
      <c r="A109" s="19"/>
      <c r="B109" s="19"/>
      <c r="C109" s="14"/>
      <c r="D109" s="14"/>
      <c r="E109" s="14"/>
      <c r="F109" s="14"/>
      <c r="G109" s="14"/>
      <c r="H109" s="14"/>
      <c r="I109" s="14"/>
      <c r="J109" s="14"/>
      <c r="K109" s="14"/>
      <c r="L109" s="20"/>
      <c r="M109" s="20"/>
      <c r="N109" s="20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4.25" customHeight="1">
      <c r="A110" s="19"/>
      <c r="B110" s="19"/>
      <c r="C110" s="14"/>
      <c r="D110" s="14"/>
      <c r="E110" s="14"/>
      <c r="F110" s="14"/>
      <c r="G110" s="14"/>
      <c r="H110" s="14"/>
      <c r="I110" s="14"/>
      <c r="J110" s="14"/>
      <c r="K110" s="14"/>
      <c r="L110" s="20"/>
      <c r="M110" s="20"/>
      <c r="N110" s="20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4.25" customHeight="1">
      <c r="A111" s="19"/>
      <c r="B111" s="19"/>
      <c r="C111" s="14"/>
      <c r="D111" s="14"/>
      <c r="E111" s="14"/>
      <c r="F111" s="14"/>
      <c r="G111" s="14"/>
      <c r="H111" s="14"/>
      <c r="I111" s="14"/>
      <c r="J111" s="14"/>
      <c r="K111" s="14"/>
      <c r="L111" s="20"/>
      <c r="M111" s="20"/>
      <c r="N111" s="20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4.25" customHeight="1">
      <c r="A112" s="25"/>
      <c r="B112" s="25"/>
      <c r="C112" s="14"/>
      <c r="D112" s="14"/>
      <c r="E112" s="14"/>
      <c r="F112" s="14"/>
      <c r="G112" s="14"/>
      <c r="H112" s="14"/>
      <c r="I112" s="14"/>
      <c r="J112" s="14"/>
      <c r="K112" s="14"/>
      <c r="L112" s="20"/>
      <c r="M112" s="20"/>
      <c r="N112" s="20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4.25" customHeight="1">
      <c r="A113" s="25"/>
      <c r="B113" s="25"/>
      <c r="C113" s="14"/>
      <c r="D113" s="14"/>
      <c r="E113" s="14"/>
      <c r="F113" s="14"/>
      <c r="G113" s="14"/>
      <c r="H113" s="14"/>
      <c r="I113" s="14"/>
      <c r="J113" s="14"/>
      <c r="K113" s="14"/>
      <c r="L113" s="20"/>
      <c r="M113" s="20"/>
      <c r="N113" s="20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4.25" customHeight="1">
      <c r="A114" s="26"/>
      <c r="B114" s="26"/>
      <c r="C114" s="14"/>
      <c r="D114" s="14"/>
      <c r="E114" s="14"/>
      <c r="F114" s="14"/>
      <c r="G114" s="14"/>
      <c r="H114" s="14"/>
      <c r="I114" s="14"/>
      <c r="J114" s="14"/>
      <c r="K114" s="14"/>
      <c r="L114" s="20"/>
      <c r="M114" s="20"/>
      <c r="N114" s="20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4.25" customHeight="1">
      <c r="A115" s="19"/>
      <c r="B115" s="19"/>
      <c r="C115" s="14"/>
      <c r="D115" s="14"/>
      <c r="E115" s="14"/>
      <c r="F115" s="14"/>
      <c r="G115" s="14"/>
      <c r="H115" s="14"/>
      <c r="I115" s="14"/>
      <c r="J115" s="14"/>
      <c r="K115" s="14"/>
      <c r="L115" s="20"/>
      <c r="M115" s="20"/>
      <c r="N115" s="20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4.25" customHeight="1">
      <c r="A116" s="9"/>
      <c r="B116" s="9"/>
      <c r="C116" s="14"/>
      <c r="D116" s="14"/>
      <c r="E116" s="14"/>
      <c r="F116" s="14"/>
      <c r="G116" s="14"/>
      <c r="H116" s="14"/>
      <c r="I116" s="14"/>
      <c r="J116" s="14"/>
      <c r="K116" s="14"/>
      <c r="L116" s="20"/>
      <c r="M116" s="20"/>
      <c r="N116" s="20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4.25" customHeight="1">
      <c r="A117" s="9"/>
      <c r="B117" s="9"/>
      <c r="C117" s="14"/>
      <c r="D117" s="14"/>
      <c r="E117" s="14"/>
      <c r="F117" s="14"/>
      <c r="G117" s="14"/>
      <c r="H117" s="14"/>
      <c r="I117" s="14"/>
      <c r="J117" s="14"/>
      <c r="K117" s="14"/>
      <c r="L117" s="20"/>
      <c r="M117" s="20"/>
      <c r="N117" s="20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4.25" customHeight="1">
      <c r="A118" s="9"/>
      <c r="B118" s="9"/>
      <c r="C118" s="14"/>
      <c r="D118" s="14"/>
      <c r="E118" s="14"/>
      <c r="F118" s="14"/>
      <c r="G118" s="14"/>
      <c r="H118" s="14"/>
      <c r="I118" s="14"/>
      <c r="J118" s="14"/>
      <c r="K118" s="14"/>
      <c r="L118" s="20"/>
      <c r="M118" s="20"/>
      <c r="N118" s="20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4.25" customHeight="1">
      <c r="A119" s="9"/>
      <c r="B119" s="9"/>
      <c r="C119" s="14"/>
      <c r="D119" s="14"/>
      <c r="E119" s="14"/>
      <c r="F119" s="14"/>
      <c r="G119" s="14"/>
      <c r="H119" s="14"/>
      <c r="I119" s="14"/>
      <c r="J119" s="14"/>
      <c r="K119" s="14"/>
      <c r="L119" s="20"/>
      <c r="M119" s="20"/>
      <c r="N119" s="20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4.25" customHeight="1">
      <c r="A120" s="27"/>
      <c r="B120" s="27"/>
      <c r="C120" s="14"/>
      <c r="D120" s="14"/>
      <c r="E120" s="14"/>
      <c r="F120" s="14"/>
      <c r="G120" s="14"/>
      <c r="H120" s="14"/>
      <c r="I120" s="14"/>
      <c r="J120" s="14"/>
      <c r="K120" s="14"/>
      <c r="L120" s="20"/>
      <c r="M120" s="20"/>
      <c r="N120" s="20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4.25" customHeight="1">
      <c r="A121" s="9"/>
      <c r="B121" s="9"/>
      <c r="C121" s="14"/>
      <c r="D121" s="14"/>
      <c r="E121" s="14"/>
      <c r="F121" s="14"/>
      <c r="G121" s="14"/>
      <c r="H121" s="14"/>
      <c r="I121" s="14"/>
      <c r="J121" s="14"/>
      <c r="K121" s="14"/>
      <c r="L121" s="20"/>
      <c r="M121" s="20"/>
      <c r="N121" s="20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4.25" customHeight="1">
      <c r="A122" s="9"/>
      <c r="B122" s="9"/>
      <c r="C122" s="14"/>
      <c r="D122" s="14"/>
      <c r="E122" s="14"/>
      <c r="F122" s="14"/>
      <c r="G122" s="14"/>
      <c r="H122" s="14"/>
      <c r="I122" s="14"/>
      <c r="J122" s="14"/>
      <c r="K122" s="14"/>
      <c r="L122" s="20"/>
      <c r="M122" s="20"/>
      <c r="N122" s="20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4.25" customHeight="1">
      <c r="A123" s="9"/>
      <c r="B123" s="9"/>
      <c r="C123" s="14"/>
      <c r="D123" s="14"/>
      <c r="E123" s="14"/>
      <c r="F123" s="14"/>
      <c r="G123" s="14"/>
      <c r="H123" s="14"/>
      <c r="I123" s="14"/>
      <c r="J123" s="14"/>
      <c r="K123" s="14"/>
      <c r="L123" s="20"/>
      <c r="M123" s="20"/>
      <c r="N123" s="20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4.25" customHeight="1">
      <c r="A124" s="9"/>
      <c r="B124" s="9"/>
      <c r="C124" s="14"/>
      <c r="D124" s="14"/>
      <c r="E124" s="14"/>
      <c r="F124" s="14"/>
      <c r="G124" s="14"/>
      <c r="H124" s="14"/>
      <c r="I124" s="14"/>
      <c r="J124" s="14"/>
      <c r="K124" s="14"/>
      <c r="L124" s="20"/>
      <c r="M124" s="20"/>
      <c r="N124" s="20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4.25" customHeight="1">
      <c r="A125" s="9"/>
      <c r="B125" s="9"/>
      <c r="C125" s="14"/>
      <c r="D125" s="14"/>
      <c r="E125" s="14"/>
      <c r="F125" s="14"/>
      <c r="G125" s="14"/>
      <c r="H125" s="14"/>
      <c r="I125" s="14"/>
      <c r="J125" s="14"/>
      <c r="K125" s="14"/>
      <c r="L125" s="20"/>
      <c r="M125" s="20"/>
      <c r="N125" s="20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4.25" customHeight="1">
      <c r="A126" s="28"/>
      <c r="B126" s="28"/>
      <c r="C126" s="14"/>
      <c r="D126" s="14"/>
      <c r="E126" s="14"/>
      <c r="F126" s="14"/>
      <c r="G126" s="14"/>
      <c r="H126" s="14"/>
      <c r="I126" s="14"/>
      <c r="J126" s="14"/>
      <c r="K126" s="14"/>
      <c r="L126" s="20"/>
      <c r="M126" s="20"/>
      <c r="N126" s="20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4.25" customHeight="1">
      <c r="A127" s="25"/>
      <c r="B127" s="25"/>
      <c r="C127" s="14"/>
      <c r="D127" s="14"/>
      <c r="E127" s="14"/>
      <c r="F127" s="14"/>
      <c r="G127" s="14"/>
      <c r="H127" s="14"/>
      <c r="I127" s="14"/>
      <c r="J127" s="14"/>
      <c r="K127" s="14"/>
      <c r="L127" s="20"/>
      <c r="M127" s="20"/>
      <c r="N127" s="20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4.25" customHeight="1">
      <c r="A128" s="9"/>
      <c r="B128" s="9"/>
      <c r="C128" s="14"/>
      <c r="D128" s="14"/>
      <c r="E128" s="14"/>
      <c r="F128" s="14"/>
      <c r="G128" s="14"/>
      <c r="H128" s="14"/>
      <c r="I128" s="14"/>
      <c r="J128" s="14"/>
      <c r="K128" s="14"/>
      <c r="L128" s="20"/>
      <c r="M128" s="20"/>
      <c r="N128" s="20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4.25" customHeight="1">
      <c r="A129" s="9"/>
      <c r="B129" s="9"/>
      <c r="C129" s="14"/>
      <c r="D129" s="14"/>
      <c r="E129" s="14"/>
      <c r="F129" s="14"/>
      <c r="G129" s="14"/>
      <c r="H129" s="14"/>
      <c r="I129" s="14"/>
      <c r="J129" s="14"/>
      <c r="K129" s="14"/>
      <c r="L129" s="20"/>
      <c r="M129" s="20"/>
      <c r="N129" s="20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4.25" customHeight="1">
      <c r="A130" s="9"/>
      <c r="B130" s="9"/>
      <c r="C130" s="14"/>
      <c r="D130" s="14"/>
      <c r="E130" s="14"/>
      <c r="F130" s="14"/>
      <c r="G130" s="14"/>
      <c r="H130" s="14"/>
      <c r="I130" s="14"/>
      <c r="J130" s="14"/>
      <c r="K130" s="14"/>
      <c r="L130" s="20"/>
      <c r="M130" s="20"/>
      <c r="N130" s="20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4.25" customHeight="1">
      <c r="A131" s="9"/>
      <c r="B131" s="9"/>
      <c r="C131" s="14"/>
      <c r="D131" s="14"/>
      <c r="E131" s="14"/>
      <c r="F131" s="14"/>
      <c r="G131" s="14"/>
      <c r="H131" s="14"/>
      <c r="I131" s="14"/>
      <c r="J131" s="14"/>
      <c r="K131" s="14"/>
      <c r="L131" s="20"/>
      <c r="M131" s="20"/>
      <c r="N131" s="20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4.25" customHeight="1">
      <c r="A132" s="4"/>
      <c r="B132" s="4"/>
      <c r="C132" s="20"/>
      <c r="D132" s="20"/>
      <c r="E132" s="20"/>
      <c r="F132" s="20"/>
      <c r="G132" s="20"/>
      <c r="H132" s="20"/>
      <c r="I132" s="20"/>
      <c r="J132" s="20"/>
      <c r="K132" s="14"/>
      <c r="L132" s="20"/>
      <c r="M132" s="20"/>
      <c r="N132" s="20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4.25" customHeight="1">
      <c r="A133" s="4"/>
      <c r="B133" s="4"/>
      <c r="C133" s="20"/>
      <c r="D133" s="20"/>
      <c r="E133" s="20"/>
      <c r="F133" s="20"/>
      <c r="G133" s="20"/>
      <c r="H133" s="20"/>
      <c r="I133" s="20"/>
      <c r="J133" s="20"/>
      <c r="K133" s="14"/>
      <c r="L133" s="20"/>
      <c r="M133" s="20"/>
      <c r="N133" s="20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4.25" customHeight="1">
      <c r="A134" s="4"/>
      <c r="B134" s="4"/>
      <c r="C134" s="20"/>
      <c r="D134" s="20"/>
      <c r="E134" s="20"/>
      <c r="F134" s="20"/>
      <c r="G134" s="20"/>
      <c r="H134" s="20"/>
      <c r="I134" s="20"/>
      <c r="J134" s="20"/>
      <c r="K134" s="14"/>
      <c r="L134" s="20"/>
      <c r="M134" s="20"/>
      <c r="N134" s="20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4.25" customHeight="1">
      <c r="A135" s="4"/>
      <c r="B135" s="4"/>
      <c r="C135" s="20"/>
      <c r="D135" s="20"/>
      <c r="E135" s="20"/>
      <c r="F135" s="20"/>
      <c r="G135" s="20"/>
      <c r="H135" s="20"/>
      <c r="I135" s="20"/>
      <c r="J135" s="20"/>
      <c r="K135" s="14"/>
      <c r="L135" s="20"/>
      <c r="M135" s="20"/>
      <c r="N135" s="20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4.25" customHeight="1">
      <c r="A136" s="4"/>
      <c r="B136" s="4"/>
      <c r="C136" s="20"/>
      <c r="D136" s="20"/>
      <c r="E136" s="20"/>
      <c r="F136" s="20"/>
      <c r="G136" s="20"/>
      <c r="H136" s="20"/>
      <c r="I136" s="20"/>
      <c r="J136" s="20"/>
      <c r="K136" s="14"/>
      <c r="L136" s="20"/>
      <c r="M136" s="20"/>
      <c r="N136" s="20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4.25" customHeight="1">
      <c r="A137" s="4"/>
      <c r="B137" s="4"/>
      <c r="C137" s="20"/>
      <c r="D137" s="20"/>
      <c r="E137" s="20"/>
      <c r="F137" s="20"/>
      <c r="G137" s="20"/>
      <c r="H137" s="20"/>
      <c r="I137" s="20"/>
      <c r="J137" s="20"/>
      <c r="K137" s="14"/>
      <c r="L137" s="20"/>
      <c r="M137" s="20"/>
      <c r="N137" s="20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4.25" customHeight="1">
      <c r="A138" s="4"/>
      <c r="B138" s="4"/>
      <c r="C138" s="20"/>
      <c r="D138" s="20"/>
      <c r="E138" s="20"/>
      <c r="F138" s="20"/>
      <c r="G138" s="20"/>
      <c r="H138" s="20"/>
      <c r="I138" s="20"/>
      <c r="J138" s="20"/>
      <c r="K138" s="14"/>
      <c r="L138" s="20"/>
      <c r="M138" s="20"/>
      <c r="N138" s="20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4.25" customHeight="1">
      <c r="A139" s="4"/>
      <c r="B139" s="4"/>
      <c r="C139" s="20"/>
      <c r="D139" s="20"/>
      <c r="E139" s="20"/>
      <c r="F139" s="20"/>
      <c r="G139" s="20"/>
      <c r="H139" s="20"/>
      <c r="I139" s="20"/>
      <c r="J139" s="20"/>
      <c r="K139" s="14"/>
      <c r="L139" s="20"/>
      <c r="M139" s="20"/>
      <c r="N139" s="20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4.25" customHeight="1">
      <c r="A140" s="4"/>
      <c r="B140" s="4"/>
      <c r="C140" s="20"/>
      <c r="D140" s="20"/>
      <c r="E140" s="20"/>
      <c r="F140" s="20"/>
      <c r="G140" s="20"/>
      <c r="H140" s="20"/>
      <c r="I140" s="20"/>
      <c r="J140" s="20"/>
      <c r="K140" s="14"/>
      <c r="L140" s="20"/>
      <c r="M140" s="20"/>
      <c r="N140" s="20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4.25" customHeight="1">
      <c r="A141" s="4"/>
      <c r="B141" s="4"/>
      <c r="C141" s="20"/>
      <c r="D141" s="20"/>
      <c r="E141" s="20"/>
      <c r="F141" s="20"/>
      <c r="G141" s="20"/>
      <c r="H141" s="20"/>
      <c r="I141" s="20"/>
      <c r="J141" s="20"/>
      <c r="K141" s="14"/>
      <c r="L141" s="20"/>
      <c r="M141" s="20"/>
      <c r="N141" s="20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4.25" customHeight="1">
      <c r="A142" s="4"/>
      <c r="B142" s="4"/>
      <c r="C142" s="20"/>
      <c r="D142" s="20"/>
      <c r="E142" s="20"/>
      <c r="F142" s="20"/>
      <c r="G142" s="20"/>
      <c r="H142" s="20"/>
      <c r="I142" s="20"/>
      <c r="J142" s="20"/>
      <c r="K142" s="14"/>
      <c r="L142" s="20"/>
      <c r="M142" s="20"/>
      <c r="N142" s="20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4.25" customHeight="1">
      <c r="A143" s="4"/>
      <c r="B143" s="4"/>
      <c r="C143" s="20"/>
      <c r="D143" s="20"/>
      <c r="E143" s="20"/>
      <c r="F143" s="20"/>
      <c r="G143" s="20"/>
      <c r="H143" s="20"/>
      <c r="I143" s="20"/>
      <c r="J143" s="20"/>
      <c r="K143" s="14"/>
      <c r="L143" s="20"/>
      <c r="M143" s="20"/>
      <c r="N143" s="20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4.25" customHeight="1">
      <c r="A144" s="4"/>
      <c r="B144" s="4"/>
      <c r="C144" s="20"/>
      <c r="D144" s="20"/>
      <c r="E144" s="20"/>
      <c r="F144" s="20"/>
      <c r="G144" s="20"/>
      <c r="H144" s="20"/>
      <c r="I144" s="20"/>
      <c r="J144" s="20"/>
      <c r="K144" s="14"/>
      <c r="L144" s="20"/>
      <c r="M144" s="20"/>
      <c r="N144" s="20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4.25" customHeight="1">
      <c r="A145" s="4"/>
      <c r="B145" s="4"/>
      <c r="C145" s="20"/>
      <c r="D145" s="20"/>
      <c r="E145" s="20"/>
      <c r="F145" s="20"/>
      <c r="G145" s="20"/>
      <c r="H145" s="20"/>
      <c r="I145" s="20"/>
      <c r="J145" s="20"/>
      <c r="K145" s="14"/>
      <c r="L145" s="20"/>
      <c r="M145" s="20"/>
      <c r="N145" s="20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4.25" customHeight="1">
      <c r="A146" s="4"/>
      <c r="B146" s="4"/>
      <c r="C146" s="20"/>
      <c r="D146" s="20"/>
      <c r="E146" s="20"/>
      <c r="F146" s="20"/>
      <c r="G146" s="20"/>
      <c r="H146" s="20"/>
      <c r="I146" s="20"/>
      <c r="J146" s="20"/>
      <c r="K146" s="14"/>
      <c r="L146" s="20"/>
      <c r="M146" s="20"/>
      <c r="N146" s="20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4.25" customHeight="1">
      <c r="A147" s="4"/>
      <c r="B147" s="4"/>
      <c r="C147" s="20"/>
      <c r="D147" s="20"/>
      <c r="E147" s="20"/>
      <c r="F147" s="20"/>
      <c r="G147" s="20"/>
      <c r="H147" s="20"/>
      <c r="I147" s="20"/>
      <c r="J147" s="20"/>
      <c r="K147" s="14"/>
      <c r="L147" s="20"/>
      <c r="M147" s="20"/>
      <c r="N147" s="20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4.25" customHeight="1">
      <c r="A148" s="4"/>
      <c r="B148" s="4"/>
      <c r="C148" s="20"/>
      <c r="D148" s="20"/>
      <c r="E148" s="20"/>
      <c r="F148" s="20"/>
      <c r="G148" s="20"/>
      <c r="H148" s="20"/>
      <c r="I148" s="20"/>
      <c r="J148" s="20"/>
      <c r="K148" s="14"/>
      <c r="L148" s="20"/>
      <c r="M148" s="20"/>
      <c r="N148" s="20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4.25" customHeight="1">
      <c r="A149" s="4"/>
      <c r="B149" s="4"/>
      <c r="C149" s="20"/>
      <c r="D149" s="20"/>
      <c r="E149" s="20"/>
      <c r="F149" s="20"/>
      <c r="G149" s="20"/>
      <c r="H149" s="20"/>
      <c r="I149" s="20"/>
      <c r="J149" s="20"/>
      <c r="K149" s="14"/>
      <c r="L149" s="20"/>
      <c r="M149" s="20"/>
      <c r="N149" s="20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4.25" customHeight="1">
      <c r="A150" s="4"/>
      <c r="B150" s="4"/>
      <c r="C150" s="20"/>
      <c r="D150" s="20"/>
      <c r="E150" s="20"/>
      <c r="F150" s="20"/>
      <c r="G150" s="20"/>
      <c r="H150" s="20"/>
      <c r="I150" s="20"/>
      <c r="J150" s="20"/>
      <c r="K150" s="14"/>
      <c r="L150" s="20"/>
      <c r="M150" s="20"/>
      <c r="N150" s="20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4.25" customHeight="1">
      <c r="A151" s="4"/>
      <c r="B151" s="4"/>
      <c r="C151" s="20"/>
      <c r="D151" s="20"/>
      <c r="E151" s="20"/>
      <c r="F151" s="20"/>
      <c r="G151" s="20"/>
      <c r="H151" s="20"/>
      <c r="I151" s="20"/>
      <c r="J151" s="20"/>
      <c r="K151" s="14"/>
      <c r="L151" s="20"/>
      <c r="M151" s="20"/>
      <c r="N151" s="20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4.25" customHeight="1">
      <c r="A152" s="4"/>
      <c r="B152" s="4"/>
      <c r="C152" s="20"/>
      <c r="D152" s="20"/>
      <c r="E152" s="20"/>
      <c r="F152" s="20"/>
      <c r="G152" s="20"/>
      <c r="H152" s="20"/>
      <c r="I152" s="20"/>
      <c r="J152" s="20"/>
      <c r="K152" s="14"/>
      <c r="L152" s="20"/>
      <c r="M152" s="20"/>
      <c r="N152" s="20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4.25" customHeight="1">
      <c r="A153" s="4"/>
      <c r="B153" s="4"/>
      <c r="C153" s="20"/>
      <c r="D153" s="20"/>
      <c r="E153" s="20"/>
      <c r="F153" s="20"/>
      <c r="G153" s="20"/>
      <c r="H153" s="20"/>
      <c r="I153" s="20"/>
      <c r="J153" s="20"/>
      <c r="K153" s="14"/>
      <c r="L153" s="20"/>
      <c r="M153" s="20"/>
      <c r="N153" s="20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4.25" customHeight="1">
      <c r="A154" s="4"/>
      <c r="B154" s="4"/>
      <c r="C154" s="20"/>
      <c r="D154" s="20"/>
      <c r="E154" s="20"/>
      <c r="F154" s="20"/>
      <c r="G154" s="20"/>
      <c r="H154" s="20"/>
      <c r="I154" s="20"/>
      <c r="J154" s="20"/>
      <c r="K154" s="14"/>
      <c r="L154" s="20"/>
      <c r="M154" s="20"/>
      <c r="N154" s="20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4.25" customHeight="1">
      <c r="A155" s="4"/>
      <c r="B155" s="4"/>
      <c r="C155" s="20"/>
      <c r="D155" s="20"/>
      <c r="E155" s="20"/>
      <c r="F155" s="20"/>
      <c r="G155" s="20"/>
      <c r="H155" s="20"/>
      <c r="I155" s="20"/>
      <c r="J155" s="20"/>
      <c r="K155" s="14"/>
      <c r="L155" s="20"/>
      <c r="M155" s="20"/>
      <c r="N155" s="20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4.25" customHeight="1">
      <c r="A156" s="4"/>
      <c r="B156" s="4"/>
      <c r="C156" s="20"/>
      <c r="D156" s="20"/>
      <c r="E156" s="20"/>
      <c r="F156" s="20"/>
      <c r="G156" s="20"/>
      <c r="H156" s="20"/>
      <c r="I156" s="20"/>
      <c r="J156" s="20"/>
      <c r="K156" s="14"/>
      <c r="L156" s="20"/>
      <c r="M156" s="20"/>
      <c r="N156" s="20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4.25" customHeight="1">
      <c r="A157" s="4"/>
      <c r="B157" s="4"/>
      <c r="C157" s="20"/>
      <c r="D157" s="20"/>
      <c r="E157" s="20"/>
      <c r="F157" s="20"/>
      <c r="G157" s="20"/>
      <c r="H157" s="20"/>
      <c r="I157" s="20"/>
      <c r="J157" s="20"/>
      <c r="K157" s="14"/>
      <c r="L157" s="20"/>
      <c r="M157" s="20"/>
      <c r="N157" s="20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4.25" customHeight="1">
      <c r="A158" s="4"/>
      <c r="B158" s="4"/>
      <c r="C158" s="20"/>
      <c r="D158" s="20"/>
      <c r="E158" s="20"/>
      <c r="F158" s="20"/>
      <c r="G158" s="20"/>
      <c r="H158" s="20"/>
      <c r="I158" s="20"/>
      <c r="J158" s="20"/>
      <c r="K158" s="14"/>
      <c r="L158" s="20"/>
      <c r="M158" s="20"/>
      <c r="N158" s="20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4.25" customHeight="1">
      <c r="A159" s="4"/>
      <c r="B159" s="4"/>
      <c r="C159" s="20"/>
      <c r="D159" s="20"/>
      <c r="E159" s="20"/>
      <c r="F159" s="20"/>
      <c r="G159" s="20"/>
      <c r="H159" s="20"/>
      <c r="I159" s="20"/>
      <c r="J159" s="20"/>
      <c r="K159" s="14"/>
      <c r="L159" s="20"/>
      <c r="M159" s="20"/>
      <c r="N159" s="20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4.25" customHeight="1">
      <c r="A160" s="4"/>
      <c r="B160" s="4"/>
      <c r="C160" s="20"/>
      <c r="D160" s="20"/>
      <c r="E160" s="20"/>
      <c r="F160" s="20"/>
      <c r="G160" s="20"/>
      <c r="H160" s="20"/>
      <c r="I160" s="20"/>
      <c r="J160" s="20"/>
      <c r="K160" s="14"/>
      <c r="L160" s="20"/>
      <c r="M160" s="20"/>
      <c r="N160" s="20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4.25" customHeight="1">
      <c r="A161" s="4"/>
      <c r="B161" s="4"/>
      <c r="C161" s="20"/>
      <c r="D161" s="20"/>
      <c r="E161" s="20"/>
      <c r="F161" s="20"/>
      <c r="G161" s="20"/>
      <c r="H161" s="20"/>
      <c r="I161" s="20"/>
      <c r="J161" s="20"/>
      <c r="K161" s="14"/>
      <c r="L161" s="20"/>
      <c r="M161" s="20"/>
      <c r="N161" s="20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4.25" customHeight="1">
      <c r="A162" s="4"/>
      <c r="B162" s="4"/>
      <c r="C162" s="20"/>
      <c r="D162" s="20"/>
      <c r="E162" s="20"/>
      <c r="F162" s="20"/>
      <c r="G162" s="20"/>
      <c r="H162" s="20"/>
      <c r="I162" s="20"/>
      <c r="J162" s="20"/>
      <c r="K162" s="14"/>
      <c r="L162" s="20"/>
      <c r="M162" s="20"/>
      <c r="N162" s="20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4.25" customHeight="1">
      <c r="A163" s="4"/>
      <c r="B163" s="4"/>
      <c r="C163" s="20"/>
      <c r="D163" s="20"/>
      <c r="E163" s="20"/>
      <c r="F163" s="20"/>
      <c r="G163" s="20"/>
      <c r="H163" s="20"/>
      <c r="I163" s="20"/>
      <c r="J163" s="20"/>
      <c r="K163" s="14"/>
      <c r="L163" s="20"/>
      <c r="M163" s="20"/>
      <c r="N163" s="20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4.25" customHeight="1">
      <c r="A164" s="4"/>
      <c r="B164" s="4"/>
      <c r="C164" s="20"/>
      <c r="D164" s="20"/>
      <c r="E164" s="20"/>
      <c r="F164" s="20"/>
      <c r="G164" s="20"/>
      <c r="H164" s="20"/>
      <c r="I164" s="20"/>
      <c r="J164" s="20"/>
      <c r="K164" s="14"/>
      <c r="L164" s="20"/>
      <c r="M164" s="20"/>
      <c r="N164" s="20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4.25" customHeight="1">
      <c r="A165" s="4"/>
      <c r="B165" s="4"/>
      <c r="C165" s="20"/>
      <c r="D165" s="20"/>
      <c r="E165" s="20"/>
      <c r="F165" s="20"/>
      <c r="G165" s="20"/>
      <c r="H165" s="20"/>
      <c r="I165" s="20"/>
      <c r="J165" s="20"/>
      <c r="K165" s="14"/>
      <c r="L165" s="20"/>
      <c r="M165" s="20"/>
      <c r="N165" s="20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4.25" customHeight="1">
      <c r="A166" s="4"/>
      <c r="B166" s="4"/>
      <c r="C166" s="20"/>
      <c r="D166" s="20"/>
      <c r="E166" s="20"/>
      <c r="F166" s="20"/>
      <c r="G166" s="20"/>
      <c r="H166" s="20"/>
      <c r="I166" s="20"/>
      <c r="J166" s="20"/>
      <c r="K166" s="14"/>
      <c r="L166" s="20"/>
      <c r="M166" s="20"/>
      <c r="N166" s="20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4.25" customHeight="1">
      <c r="A167" s="4"/>
      <c r="B167" s="4"/>
      <c r="C167" s="20"/>
      <c r="D167" s="20"/>
      <c r="E167" s="20"/>
      <c r="F167" s="20"/>
      <c r="G167" s="20"/>
      <c r="H167" s="20"/>
      <c r="I167" s="20"/>
      <c r="J167" s="20"/>
      <c r="K167" s="14"/>
      <c r="L167" s="20"/>
      <c r="M167" s="20"/>
      <c r="N167" s="20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4.25" customHeight="1">
      <c r="A168" s="4"/>
      <c r="B168" s="4"/>
      <c r="C168" s="20"/>
      <c r="D168" s="20"/>
      <c r="E168" s="20"/>
      <c r="F168" s="20"/>
      <c r="G168" s="20"/>
      <c r="H168" s="20"/>
      <c r="I168" s="20"/>
      <c r="J168" s="20"/>
      <c r="K168" s="14"/>
      <c r="L168" s="20"/>
      <c r="M168" s="20"/>
      <c r="N168" s="20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4.25" customHeight="1">
      <c r="A169" s="4"/>
      <c r="B169" s="4"/>
      <c r="C169" s="20"/>
      <c r="D169" s="20"/>
      <c r="E169" s="20"/>
      <c r="F169" s="20"/>
      <c r="G169" s="20"/>
      <c r="H169" s="20"/>
      <c r="I169" s="20"/>
      <c r="J169" s="20"/>
      <c r="K169" s="14"/>
      <c r="L169" s="20"/>
      <c r="M169" s="20"/>
      <c r="N169" s="20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4.25" customHeight="1">
      <c r="A170" s="4"/>
      <c r="B170" s="4"/>
      <c r="C170" s="20"/>
      <c r="D170" s="20"/>
      <c r="E170" s="20"/>
      <c r="F170" s="20"/>
      <c r="G170" s="20"/>
      <c r="H170" s="20"/>
      <c r="I170" s="20"/>
      <c r="J170" s="20"/>
      <c r="K170" s="14"/>
      <c r="L170" s="20"/>
      <c r="M170" s="20"/>
      <c r="N170" s="20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4.25" customHeight="1">
      <c r="A171" s="4"/>
      <c r="B171" s="4"/>
      <c r="C171" s="20"/>
      <c r="D171" s="20"/>
      <c r="E171" s="20"/>
      <c r="F171" s="20"/>
      <c r="G171" s="20"/>
      <c r="H171" s="20"/>
      <c r="I171" s="20"/>
      <c r="J171" s="20"/>
      <c r="K171" s="14"/>
      <c r="L171" s="20"/>
      <c r="M171" s="20"/>
      <c r="N171" s="20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4.25" customHeight="1">
      <c r="A172" s="4"/>
      <c r="B172" s="4"/>
      <c r="C172" s="20"/>
      <c r="D172" s="20"/>
      <c r="E172" s="20"/>
      <c r="F172" s="20"/>
      <c r="G172" s="20"/>
      <c r="H172" s="20"/>
      <c r="I172" s="20"/>
      <c r="J172" s="20"/>
      <c r="K172" s="14"/>
      <c r="L172" s="20"/>
      <c r="M172" s="20"/>
      <c r="N172" s="20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19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19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19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19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19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19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19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19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19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19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19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19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19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19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19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19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19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19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19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19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19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19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19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19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19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19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19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19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19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19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19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19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19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19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19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19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19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19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19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19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19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19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19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19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19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19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19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19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19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19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19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19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19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19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19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19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19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19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19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19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19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19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19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19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19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19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19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19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19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19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19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19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19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19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19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19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19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19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19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19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19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19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19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19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19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19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19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19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19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19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19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19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19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19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19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19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19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19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19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19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19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19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19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19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19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19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19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19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19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19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19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19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19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19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19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ageMargins left="0.25" right="0.25" top="0.5" bottom="0.25" header="0.3" footer="0.3"/>
  <pageSetup scale="75" fitToHeight="0" orientation="landscape" r:id="rId1"/>
  <headerFooter>
    <oddFooter>&amp;L&amp;T&amp;D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Five Year Projection</vt:lpstr>
      <vt:lpstr>'Five Year Projection'!Print_Area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Loveit Baumgardner</dc:creator>
  <cp:lastModifiedBy>Andrea Pearson</cp:lastModifiedBy>
  <cp:lastPrinted>2020-08-10T20:20:04Z</cp:lastPrinted>
  <dcterms:created xsi:type="dcterms:W3CDTF">2020-07-28T13:23:54Z</dcterms:created>
  <dcterms:modified xsi:type="dcterms:W3CDTF">2020-08-10T20:24:47Z</dcterms:modified>
</cp:coreProperties>
</file>